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190" activeTab="1"/>
  </bookViews>
  <sheets>
    <sheet name="BDI" sheetId="1" r:id="rId1"/>
    <sheet name="Planilha Orçamentária" sheetId="2" r:id="rId2"/>
    <sheet name="Composição de Custo" sheetId="3" r:id="rId3"/>
    <sheet name="Memória de Cálculo" sheetId="4" r:id="rId4"/>
    <sheet name="Cronograma Físico-Financeiro" sheetId="5" r:id="rId5"/>
  </sheets>
  <definedNames>
    <definedName name="_xlfn.IFERROR" hidden="1">#NAME?</definedName>
    <definedName name="_xlnm.Print_Area" localSheetId="2">'Composição de Custo'!$A$1:$H$30</definedName>
    <definedName name="_xlnm.Print_Area" localSheetId="4">'Cronograma Físico-Financeiro'!$A$1:$J$24</definedName>
    <definedName name="_xlnm.Print_Area" localSheetId="3">'Memória de Cálculo'!$A$1:$F$50</definedName>
    <definedName name="_xlnm.Print_Area" localSheetId="1">'Planilha Orçamentária'!$A$1:$J$50</definedName>
    <definedName name="_xlnm.Print_Titles" localSheetId="3">'Memória de Cálculo'!$1:$9</definedName>
    <definedName name="_xlnm.Print_Titles" localSheetId="1">'Planilha Orçamentária'!$1:$10</definedName>
  </definedNames>
  <calcPr fullCalcOnLoad="1" fullPrecision="0"/>
</workbook>
</file>

<file path=xl/sharedStrings.xml><?xml version="1.0" encoding="utf-8"?>
<sst xmlns="http://schemas.openxmlformats.org/spreadsheetml/2006/main" count="471" uniqueCount="206">
  <si>
    <t>ITEM</t>
  </si>
  <si>
    <t>DESCRIÇÃO</t>
  </si>
  <si>
    <t>01</t>
  </si>
  <si>
    <t>1.1</t>
  </si>
  <si>
    <t>CÓDIGO</t>
  </si>
  <si>
    <t>FONTE</t>
  </si>
  <si>
    <t>SINAPI</t>
  </si>
  <si>
    <t>Referência</t>
  </si>
  <si>
    <t>UND.</t>
  </si>
  <si>
    <t>QUANT.</t>
  </si>
  <si>
    <t>P. UNIT.</t>
  </si>
  <si>
    <t>TOTAL</t>
  </si>
  <si>
    <t>TOTAL DA OBRA</t>
  </si>
  <si>
    <t>José Magno Sarmento</t>
  </si>
  <si>
    <t>Engenheiro Civil</t>
  </si>
  <si>
    <t>__________________________________________________</t>
  </si>
  <si>
    <t>CREA/MG: 32.278/D</t>
  </si>
  <si>
    <t>PLANINHA ORÇAMENTÁRIA</t>
  </si>
  <si>
    <t>1.2</t>
  </si>
  <si>
    <t xml:space="preserve">CUSTO </t>
  </si>
  <si>
    <t>PREÇO (BDI)</t>
  </si>
  <si>
    <t>ETAPAS</t>
  </si>
  <si>
    <t>VALOR                 R$</t>
  </si>
  <si>
    <t>Físico                  Financeiro</t>
  </si>
  <si>
    <t>Mês 01</t>
  </si>
  <si>
    <t>Físico %</t>
  </si>
  <si>
    <t>Financeiro</t>
  </si>
  <si>
    <t xml:space="preserve"> Engenheiro Civil</t>
  </si>
  <si>
    <t>CREA-MG 32.278/D</t>
  </si>
  <si>
    <t>_______________________________</t>
  </si>
  <si>
    <t>Quadro de Composição do BDI</t>
  </si>
  <si>
    <t>Proponente:</t>
  </si>
  <si>
    <t>Objeto:</t>
  </si>
  <si>
    <t>Selecione na célula abaixo o tipo de obra do empreendimento:</t>
  </si>
  <si>
    <t>Construção e Reforma de Edifícios</t>
  </si>
  <si>
    <t>Conforme legislação tributária municipal, definir estimativa de percentual da base de cálculo para o ISS:</t>
  </si>
  <si>
    <t>Sobre a base de cálculo, definir a respectiva alíquota do ISS (entre 2% e 5%):</t>
  </si>
  <si>
    <t>Itens</t>
  </si>
  <si>
    <t>Siglas</t>
  </si>
  <si>
    <t>Preencher percentuais das parcelas do BDI</t>
  </si>
  <si>
    <t>Situação intervalo admissível</t>
  </si>
  <si>
    <t>1º Quartil</t>
  </si>
  <si>
    <t>Médio</t>
  </si>
  <si>
    <t>3º Quartil</t>
  </si>
  <si>
    <t>Administração Central</t>
  </si>
  <si>
    <t>AC</t>
  </si>
  <si>
    <t>-</t>
  </si>
  <si>
    <t>Seguro e Garantia</t>
  </si>
  <si>
    <t>SG</t>
  </si>
  <si>
    <t>Risco</t>
  </si>
  <si>
    <t>R</t>
  </si>
  <si>
    <t>Despesas Financeiras</t>
  </si>
  <si>
    <t>DF</t>
  </si>
  <si>
    <t>Lucro</t>
  </si>
  <si>
    <t>L</t>
  </si>
  <si>
    <t>Tributos (impostos COFINS 3%, e  PIS 0,65%)</t>
  </si>
  <si>
    <t>CP</t>
  </si>
  <si>
    <t>Tributos (ISS, variável de acordo com o município)</t>
  </si>
  <si>
    <t>ISS</t>
  </si>
  <si>
    <t>Tributos (Contribuição Previdenciária - 0% ou 4,5%, conforme Lei 12.844/2013 - Desoneração)</t>
  </si>
  <si>
    <t>CPRB</t>
  </si>
  <si>
    <t>Fórmula de BDI adotado conforme Acórdão TCU</t>
  </si>
  <si>
    <t>BDI PAD</t>
  </si>
  <si>
    <t>BDI SINAPI DESONERADO (A ser aplicado na Planilha Orçamentária)</t>
  </si>
  <si>
    <t>BDI DES</t>
  </si>
  <si>
    <t>Os valores de BDI foram calculados com o emprego da fórmula abaixo:</t>
  </si>
  <si>
    <t>MIN</t>
  </si>
  <si>
    <t>MED</t>
  </si>
  <si>
    <t>MAX</t>
  </si>
  <si>
    <t>Construção de Praças Urbanas, Rodovias, Ferrovias e recapeamento e pavimentação de vias urbanas</t>
  </si>
  <si>
    <t>Construção de Redes de Abastecimento de Água, Coleta de Esgoto</t>
  </si>
  <si>
    <t>Construção e Manutenção de Estações e Redes de Distribuição de Energia Elétrica</t>
  </si>
  <si>
    <t>Obras Portuárias, Marítimas e Fluviais</t>
  </si>
  <si>
    <t>Fornecimento de Materiais e Equipamentos</t>
  </si>
  <si>
    <t>Estudos e Projetos, Planos e Gerenciamento e outros correlatos</t>
  </si>
  <si>
    <t>Local e data</t>
  </si>
  <si>
    <t>Jose Magno Sarmento
CREA 32.278/D</t>
  </si>
  <si>
    <t>Responsável Técnico</t>
  </si>
  <si>
    <t>Responsável Tomador</t>
  </si>
  <si>
    <t>MEMÓRIA DE CÁLCULO</t>
  </si>
  <si>
    <t>FÓRMULA</t>
  </si>
  <si>
    <t>MEMÓRIA</t>
  </si>
  <si>
    <t>1.3</t>
  </si>
  <si>
    <t>1.4</t>
  </si>
  <si>
    <t>1.5</t>
  </si>
  <si>
    <t>SICRO</t>
  </si>
  <si>
    <t>SINAPI C/DESONERAÇÃO - 07/2022</t>
  </si>
  <si>
    <t>EXECUÇÃO DE PISO DE CONCRETO (BERÇO) COM CONCRETO MOLDADO IN LOCO, FEITO EM OBRA, ACABAMENTO CONVENCIONAL, NÃO ARMADO</t>
  </si>
  <si>
    <t>SICRO C/DESONERAÇÃO - 04/2022</t>
  </si>
  <si>
    <t>Valor</t>
  </si>
  <si>
    <t>Data</t>
  </si>
  <si>
    <t>SEINFRA</t>
  </si>
  <si>
    <t>SEINFRA C/DESONERAÇÃO - 06/2022</t>
  </si>
  <si>
    <t xml:space="preserve">ESCAVAÇÃO MECANIZADA DE VALA COM PROF. MAIOR QUE 1,5 M ATÉ 3,0 M (MÉDIA MONTANTE E JUSANTE/UMA COMPOSIÇÃO POR TRECHO), RETROESCAV. (0,26 M3), LARG. MENOR QUE 0,8 M, EM SOLO DE 1A CATEGORIA, EM LOCAIS COM ALTO NÍVEL DE INTERFERÊNCIA. AF_02/2021 </t>
  </si>
  <si>
    <t>Prefeitura Municipal de Grão Mogol - MG</t>
  </si>
  <si>
    <t>Grão Mogol – MG, 06 de junho de 2024.</t>
  </si>
  <si>
    <t>Diêgo Antonio Braga Fagundes</t>
  </si>
  <si>
    <t>COEFICIENTE</t>
  </si>
  <si>
    <t>PREÇO UNITÁRIO</t>
  </si>
  <si>
    <t>COMP-01</t>
  </si>
  <si>
    <t>m</t>
  </si>
  <si>
    <t>Caminhão carroceria com guindauto com capacidade de 20 t.m - 136 kW</t>
  </si>
  <si>
    <t xml:space="preserve">E9686 </t>
  </si>
  <si>
    <t>Ajudante</t>
  </si>
  <si>
    <t>P9801</t>
  </si>
  <si>
    <t>P9830</t>
  </si>
  <si>
    <t>Montador</t>
  </si>
  <si>
    <t>2106233</t>
  </si>
  <si>
    <t>Escoramento metálico tubular galvanizado para formas com capacidade de 3.200 a 1.600 kg por unidade - regulável de 1,8 a 3,0 m - utilização de 20 vezes - fornecimento, instalação e retirada</t>
  </si>
  <si>
    <t>Lastro de brita comercial compactado com soquete vibratório - espalhamento manual</t>
  </si>
  <si>
    <t>Plataforma de trabalho em aço tubular apoiada no solo - altura de até 4 m - utilização de 100 vezes - fornecimento, instalação e retirada</t>
  </si>
  <si>
    <t>h</t>
  </si>
  <si>
    <t xml:space="preserve">un </t>
  </si>
  <si>
    <t xml:space="preserve">2003850 </t>
  </si>
  <si>
    <t>m3</t>
  </si>
  <si>
    <t>1.6</t>
  </si>
  <si>
    <t>COMP-02</t>
  </si>
  <si>
    <t>2.1</t>
  </si>
  <si>
    <t>2.2</t>
  </si>
  <si>
    <t>2.3</t>
  </si>
  <si>
    <t>2.4</t>
  </si>
  <si>
    <t>2.5</t>
  </si>
  <si>
    <t>2.6</t>
  </si>
  <si>
    <t>COMPOSIÇÃO DE CUSTO</t>
  </si>
  <si>
    <t>PREFEITURA MUNICIPAL DE GRÃO MOGOL/MG</t>
  </si>
  <si>
    <t>Rua Geraldo Avelino, 60, Centro, Grão Mogol, MG, Brasil, CEP 39570-000
Telefone: (38) 3238-1135</t>
  </si>
  <si>
    <t>BDI</t>
  </si>
  <si>
    <t>02</t>
  </si>
  <si>
    <t>EXECUÇÃO E COMPACTAÇÃO DE ATERRO COM SOLO PREDOMINANTEMENTE ARGILOSO - EXCLUSIVE SOLO, ESCAVAÇÃO, CARGA E TRANSPORTE. AF_11/2019</t>
  </si>
  <si>
    <t>Composição</t>
  </si>
  <si>
    <t>TUBO ARMCO CIRCULAR DN250 E DN150 (RIO VACARIAS E RIO DOS BOIS - COMUNIDADE MORRO GRANDE/GRÃO MOGOL)</t>
  </si>
  <si>
    <t>TUDO ARMCO DN250 - RIO VACARIAS</t>
  </si>
  <si>
    <t>TUDO ARMCO DN150 - RIO DOS BOIS</t>
  </si>
  <si>
    <t>2.7</t>
  </si>
  <si>
    <t>2.8</t>
  </si>
  <si>
    <t>M3</t>
  </si>
  <si>
    <t>m2</t>
  </si>
  <si>
    <t>3,5x9,9x7</t>
  </si>
  <si>
    <t>9,9x8x0,2</t>
  </si>
  <si>
    <t>6x3</t>
  </si>
  <si>
    <r>
      <t>2x((9,9x3,3)-(3x</t>
    </r>
    <r>
      <rPr>
        <sz val="10"/>
        <rFont val="Aptos Narrow"/>
        <family val="2"/>
      </rPr>
      <t>π</t>
    </r>
    <r>
      <rPr>
        <sz val="10"/>
        <rFont val="Arial"/>
        <family val="0"/>
      </rPr>
      <t>x(1,25^2))+(2x1,8x0,8)+(2x((1,8x2,5)/2)))</t>
    </r>
  </si>
  <si>
    <t>Conforme projeto</t>
  </si>
  <si>
    <t>2,5x6,9x7</t>
  </si>
  <si>
    <t>6,9x8x0,2</t>
  </si>
  <si>
    <t>2x((6,9x2,3)-(3xπx(0,75^2))+(2x1,8x0,8)+(2x((1,8x1,5)/2)))</t>
  </si>
  <si>
    <t>Mês 02</t>
  </si>
  <si>
    <t>CRONOGRAMA FÍSICO - FINANCEIRO</t>
  </si>
  <si>
    <t>ED-48212</t>
  </si>
  <si>
    <t>ED-48214</t>
  </si>
  <si>
    <t>ED-49812</t>
  </si>
  <si>
    <t xml:space="preserve">ED-49643 </t>
  </si>
  <si>
    <t>1.7</t>
  </si>
  <si>
    <t>1.8</t>
  </si>
  <si>
    <t>ED-49643</t>
  </si>
  <si>
    <t>SEINFRA C/DESONERAÇÃO - 01/2024</t>
  </si>
  <si>
    <t>SICRO C/DESONERAÇÃO - 01/2024</t>
  </si>
  <si>
    <t>SINAPI C/DESONERAÇÃO - 04/2024</t>
  </si>
  <si>
    <t>LASTRO DE CONCRETO MAGRO, INCLUSIVE TRANSPORTE,
LANÇAMENTO E ADENSAMENTO (GUARDA-RODA)</t>
  </si>
  <si>
    <t>FÔRMA E DESFORMA DE TÁBUA E SARRAFO,
REAPROVEITAMENTO (3X), EXCLUSIVE ESCORAMENTO (GUARDA-RODA)</t>
  </si>
  <si>
    <t>ALVENARIA DE BLOCO DE CONCRETO CHEIO COM ARMAÇÃO, EM CONCRETO COM FCK 15MPA , ESP. 9CM, PARA REVESTIMENTO, INCLUSIVE ARGAMASSA PARA ASSENTAMENTO (DETALHE D - CADERNO SEDS) (GUARDA-CORPO)</t>
  </si>
  <si>
    <t>ALVENARIA DE BLOCO DE CONCRETO CHEIO COM ARMAÇÃO, EM CONCRETO COM FCK 15MPA , ESP. 19CM, PARA REVESTIMENTO, INCLUSIVE ARGAMASSA PARA ASSENTAMENTO (DETALHE D - CADERNO SEDS) (BOCA DE BUEIRO)</t>
  </si>
  <si>
    <r>
      <t>(3,3x9,9x6,4)-(3x</t>
    </r>
    <r>
      <rPr>
        <sz val="10"/>
        <rFont val="Aptos Narrow"/>
        <family val="2"/>
      </rPr>
      <t>π</t>
    </r>
    <r>
      <rPr>
        <sz val="10"/>
        <rFont val="Arial"/>
        <family val="0"/>
      </rPr>
      <t>x(1,25^2))</t>
    </r>
  </si>
  <si>
    <t>2x9,9x0,9</t>
  </si>
  <si>
    <t>9,9x0,2x0,2</t>
  </si>
  <si>
    <t>9,9x0,3</t>
  </si>
  <si>
    <r>
      <t>(2,3x6,9x6,4)-(3x</t>
    </r>
    <r>
      <rPr>
        <sz val="10"/>
        <rFont val="Aptos Narrow"/>
        <family val="2"/>
      </rPr>
      <t>π</t>
    </r>
    <r>
      <rPr>
        <sz val="10"/>
        <rFont val="Arial"/>
        <family val="0"/>
      </rPr>
      <t>x(0,75^2))</t>
    </r>
  </si>
  <si>
    <t>2x6,9x0,9</t>
  </si>
  <si>
    <t>6,9x0,2x0,2</t>
  </si>
  <si>
    <t>6,9x0,3</t>
  </si>
  <si>
    <t>Bueiro metálico com chapas múltiplas MP 100 galvanizadas - D = 2,50 m - brita comercial - somente instalação</t>
  </si>
  <si>
    <t>Bueiro metálico com chapas múltiplas MP 100 galvanizadas - D = 1,50 m - brita comercial - somente instalação</t>
  </si>
  <si>
    <t xml:space="preserve">ED-50572 </t>
  </si>
  <si>
    <t>ED-16660</t>
  </si>
  <si>
    <t>%</t>
  </si>
  <si>
    <t>ADMINISTRAÇÃO LOCAL 10,68% DO VALOR TOTAL DA OBRA</t>
  </si>
  <si>
    <t>1.9</t>
  </si>
  <si>
    <t>1.10</t>
  </si>
  <si>
    <t>1.11</t>
  </si>
  <si>
    <t>1.12</t>
  </si>
  <si>
    <t>PISO EM CONCRETO, USINADO CONVENCIONAL, FCK 30MPA, COM AÇO CA-50 DIÂMETRO 6,3MM MALHA 10X10CM, ACABAMENTO RÚSTICO, ESP. 15CM, INCLUSIVE FORNECIMENTO, LANÇAMENTO, ADENSAMENTO, EXCLUSIVE JUNTA DE DILATAÇÃO (PAVIMENTO)</t>
  </si>
  <si>
    <t>2.9</t>
  </si>
  <si>
    <t>2.10</t>
  </si>
  <si>
    <t>2.11</t>
  </si>
  <si>
    <t>2.12</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</si>
  <si>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</si>
  <si>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ED-50703</t>
  </si>
  <si>
    <t>ED-50389</t>
  </si>
  <si>
    <t>REMOÇÃO DE PISO DE MADEIRA (ASSOALHO E BARROTE), DE FORMA MANUAL, SEM REAPROVEITAMENTO. AF_09/2023</t>
  </si>
  <si>
    <t>M2</t>
  </si>
  <si>
    <t>2.13</t>
  </si>
  <si>
    <t>2.14</t>
  </si>
  <si>
    <t>LIMPEZA DE TERRENO, INCLUSIVE CAPINA, RASTELAMENTO COM AFASTAMENTO ATÉ VINTE (20) METROS E QUEIMA CONTROLADA</t>
  </si>
  <si>
    <t>2,4x1,2</t>
  </si>
  <si>
    <t>MOBILIZAÇÃO E DESMOBILIZAÇÃO OBRA DISTANTE DE CENTRO URBANO COM VALOR ATÉ O VALOR DE 1.000.000,00</t>
  </si>
  <si>
    <t>9,68x10,19</t>
  </si>
  <si>
    <t>6x6,9</t>
  </si>
  <si>
    <t>1.13</t>
  </si>
  <si>
    <t>9,68*13,19</t>
  </si>
  <si>
    <t>un.dia</t>
  </si>
  <si>
    <t>Placa de regulamentação para sinalização de obras montada em suporte metálico móvel, R1 lado 0,414 m - utilização de 600 ciclos - fornecimento, 01 implantação e 01 retirada diária</t>
  </si>
  <si>
    <t>1.14</t>
  </si>
  <si>
    <t>2.15</t>
  </si>
  <si>
    <t>6,9x6,4</t>
  </si>
  <si>
    <t>2x30</t>
  </si>
  <si>
    <t>9,9x6,4</t>
  </si>
  <si>
    <t xml:space="preserve">Tubo Armco Circular DN250 e DN150 (Rio Vacarias e Rio dos Bois - Comunidade Morro Grande/Grão Mogol) </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</si>
</sst>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00_);_(* \(#,##0.00\);_(* \-??_);_(@_)"/>
    <numFmt numFmtId="173" formatCode="mmm\-yy"/>
    <numFmt numFmtId="174" formatCode="&quot;Sim&quot;;&quot;Sim&quot;;&quot;Não&quot;"/>
    <numFmt numFmtId="175" formatCode="&quot;Verdadeiro&quot;;&quot;Verdadeiro&quot;;&quot;Falso&quot;"/>
    <numFmt numFmtId="176" formatCode="&quot;Ativar&quot;;&quot;Ativar&quot;;&quot;Desativar&quot;"/>
    <numFmt numFmtId="177" formatCode="[$€-2]\ #,##0.00_);[Red]\([$€-2]\ #,##0.00\)"/>
    <numFmt numFmtId="178" formatCode="[$-416]dddd\,\ d&quot; de &quot;mmmm&quot; de &quot;yyyy"/>
    <numFmt numFmtId="179" formatCode="0.0"/>
    <numFmt numFmtId="180" formatCode="_(* #,##0.0_);_(* \(#,##0.0\);_(* \-??_);_(@_)"/>
    <numFmt numFmtId="181" formatCode="0.0%"/>
    <numFmt numFmtId="182" formatCode="0.00000"/>
    <numFmt numFmtId="183" formatCode="0.0000"/>
    <numFmt numFmtId="184" formatCode="0.000"/>
    <numFmt numFmtId="185" formatCode="&quot;Ativado&quot;;&quot;Ativado&quot;;&quot;Desativado&quot;"/>
    <numFmt numFmtId="186" formatCode="&quot;R$&quot;\ #,##0.00"/>
    <numFmt numFmtId="187" formatCode="#,##0.0"/>
    <numFmt numFmtId="188" formatCode="#,##0.000"/>
    <numFmt numFmtId="189" formatCode="#,##0.0000"/>
    <numFmt numFmtId="190" formatCode="#,##0.00000"/>
    <numFmt numFmtId="191" formatCode="#,##0.000000"/>
    <numFmt numFmtId="192" formatCode="_-&quot;R$&quot;\ * #,##0.00000_-;\-&quot;R$&quot;\ * #,##0.00000_-;_-&quot;R$&quot;\ * &quot;-&quot;?????_-;_-@_-"/>
  </numFmts>
  <fonts count="60">
    <font>
      <sz val="10"/>
      <name val="Arial"/>
      <family val="0"/>
    </font>
    <font>
      <b/>
      <sz val="10"/>
      <name val="Arial"/>
      <family val="2"/>
    </font>
    <font>
      <sz val="10"/>
      <color indexed="12"/>
      <name val="Arial"/>
      <family val="2"/>
    </font>
    <font>
      <b/>
      <sz val="12"/>
      <name val="Arial"/>
      <family val="2"/>
    </font>
    <font>
      <sz val="8"/>
      <name val="Arial"/>
      <family val="2"/>
    </font>
    <font>
      <b/>
      <sz val="9"/>
      <name val="Arial"/>
      <family val="2"/>
    </font>
    <font>
      <u val="single"/>
      <sz val="10"/>
      <name val="Arial"/>
      <family val="2"/>
    </font>
    <font>
      <b/>
      <sz val="8"/>
      <name val="Arial"/>
      <family val="2"/>
    </font>
    <font>
      <b/>
      <sz val="11"/>
      <name val="Arial"/>
      <family val="2"/>
    </font>
    <font>
      <sz val="9"/>
      <name val="Arial"/>
      <family val="2"/>
    </font>
    <font>
      <b/>
      <u val="single"/>
      <sz val="15"/>
      <name val="Arial"/>
      <family val="2"/>
    </font>
    <font>
      <b/>
      <sz val="12"/>
      <color indexed="12"/>
      <name val="Arial"/>
      <family val="2"/>
    </font>
    <font>
      <b/>
      <sz val="10"/>
      <color indexed="12"/>
      <name val="Arial"/>
      <family val="2"/>
    </font>
    <font>
      <u val="single"/>
      <sz val="12"/>
      <name val="Arial"/>
      <family val="2"/>
    </font>
    <font>
      <sz val="10"/>
      <name val="Aptos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sz val="9"/>
      <color indexed="9"/>
      <name val="Arial"/>
      <family val="2"/>
    </font>
    <font>
      <b/>
      <sz val="10"/>
      <color indexed="8"/>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9"/>
      <color theme="0"/>
      <name val="Arial"/>
      <family val="2"/>
    </font>
    <font>
      <b/>
      <sz val="10"/>
      <color theme="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9"/>
      <color theme="1"/>
      <name val="Arial"/>
      <family val="2"/>
    </font>
    <font>
      <b/>
      <sz val="10"/>
      <color rgb="FF000000"/>
      <name val="Arial"/>
      <family val="2"/>
    </font>
    <font>
      <sz val="9"/>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3"/>
        <bgColor indexed="64"/>
      </patternFill>
    </fill>
    <fill>
      <patternFill patternType="solid">
        <fgColor theme="4" tint="0.5999600291252136"/>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bottom>
        <color indexed="63"/>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right style="thin"/>
      <top/>
      <bottom style="thin"/>
    </border>
    <border>
      <left style="thin">
        <color theme="0" tint="-0.24997000396251678"/>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color indexed="63"/>
      </bottom>
    </border>
    <border>
      <left style="thin"/>
      <right style="medium"/>
      <top style="thin"/>
      <bottom style="thin"/>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color theme="0" tint="-0.1499900072813034"/>
      </left>
      <right style="thin"/>
      <top style="thin"/>
      <bottom style="thin"/>
    </border>
    <border>
      <left style="thin">
        <color theme="0" tint="-0.1499900072813034"/>
      </left>
      <right style="thin"/>
      <top style="thin"/>
      <bottom>
        <color indexed="63"/>
      </bottom>
    </border>
    <border>
      <left style="thin"/>
      <right style="thin"/>
      <top style="thin"/>
      <bottom style="thin">
        <color theme="0" tint="-0.24997000396251678"/>
      </botto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top>
        <color indexed="63"/>
      </top>
      <bottom style="medium"/>
    </border>
    <border>
      <left style="thin"/>
      <right/>
      <top style="thin">
        <color rgb="FF000000"/>
      </top>
      <bottom style="thin"/>
    </border>
    <border>
      <left/>
      <right/>
      <top style="thin">
        <color rgb="FF000000"/>
      </top>
      <bottom style="thin"/>
    </border>
    <border>
      <left/>
      <right style="thin"/>
      <top style="thin">
        <color rgb="FF000000"/>
      </top>
      <bottom style="thin"/>
    </border>
    <border>
      <left style="thin"/>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top style="thin">
        <color theme="0" tint="-0.24997000396251678"/>
      </top>
      <bottom>
        <color indexed="63"/>
      </bottom>
    </border>
    <border>
      <left style="thin"/>
      <right style="thin"/>
      <top style="thin">
        <color theme="0" tint="-0.24997000396251678"/>
      </top>
      <bottom>
        <color indexed="63"/>
      </bottom>
    </border>
    <border>
      <left style="thin"/>
      <right style="thin"/>
      <top>
        <color indexed="63"/>
      </top>
      <bottom>
        <color indexed="63"/>
      </bottom>
    </border>
    <border>
      <left style="thin"/>
      <right style="thin"/>
      <top>
        <color indexed="63"/>
      </top>
      <bottom style="thin"/>
    </border>
    <border>
      <left style="thin">
        <color theme="0" tint="-0.4999699890613556"/>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5" fillId="30" borderId="4" applyBorder="0">
      <alignment horizontal="center" vertical="center" wrapText="1"/>
      <protection/>
    </xf>
    <xf numFmtId="0" fontId="44" fillId="31" borderId="4" applyBorder="0">
      <alignment horizontal="center" vertical="center" wrapText="1"/>
      <protection/>
    </xf>
    <xf numFmtId="0" fontId="5" fillId="32" borderId="5" applyBorder="0" applyAlignment="0">
      <protection/>
    </xf>
    <xf numFmtId="0" fontId="45" fillId="33" borderId="5" applyFont="0" applyAlignment="0">
      <protection/>
    </xf>
    <xf numFmtId="0" fontId="1" fillId="34" borderId="5">
      <alignment horizontal="center" vertical="center"/>
      <protection/>
    </xf>
    <xf numFmtId="0" fontId="1" fillId="35" borderId="5">
      <alignment horizontal="justify" vertical="center" wrapText="1"/>
      <protection/>
    </xf>
    <xf numFmtId="170" fontId="0" fillId="0" borderId="0" applyFill="0" applyBorder="0" applyAlignment="0" applyProtection="0"/>
    <xf numFmtId="168" fontId="0" fillId="0" borderId="0" applyFill="0" applyBorder="0" applyAlignment="0" applyProtection="0"/>
    <xf numFmtId="0" fontId="46"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7" borderId="6" applyNumberFormat="0" applyFont="0" applyAlignment="0" applyProtection="0"/>
    <xf numFmtId="9" fontId="0" fillId="0" borderId="0" applyFill="0" applyBorder="0" applyAlignment="0" applyProtection="0"/>
    <xf numFmtId="0" fontId="47" fillId="38" borderId="0" applyNumberFormat="0" applyBorder="0" applyAlignment="0" applyProtection="0"/>
    <xf numFmtId="0" fontId="48" fillId="21" borderId="7" applyNumberFormat="0" applyAlignment="0" applyProtection="0"/>
    <xf numFmtId="169" fontId="0" fillId="0" borderId="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55" fillId="0" borderId="11" applyNumberFormat="0" applyFill="0" applyAlignment="0" applyProtection="0"/>
    <xf numFmtId="172" fontId="0" fillId="0" borderId="0" applyFill="0" applyBorder="0" applyAlignment="0" applyProtection="0"/>
  </cellStyleXfs>
  <cellXfs count="324">
    <xf numFmtId="0" fontId="0" fillId="0" borderId="0" xfId="0" applyAlignment="1">
      <alignment/>
    </xf>
    <xf numFmtId="0" fontId="0" fillId="39" borderId="0" xfId="0" applyFill="1" applyBorder="1" applyAlignment="1">
      <alignment horizontal="left" vertical="top"/>
    </xf>
    <xf numFmtId="0" fontId="0" fillId="39" borderId="0" xfId="0" applyFill="1" applyBorder="1" applyAlignment="1">
      <alignment/>
    </xf>
    <xf numFmtId="0" fontId="0" fillId="39" borderId="0" xfId="0" applyFill="1" applyBorder="1" applyAlignment="1">
      <alignment horizontal="right"/>
    </xf>
    <xf numFmtId="0" fontId="1" fillId="39" borderId="0" xfId="0" applyFont="1" applyFill="1" applyBorder="1" applyAlignment="1">
      <alignment horizontal="left" vertical="top"/>
    </xf>
    <xf numFmtId="0" fontId="1" fillId="39" borderId="0" xfId="0" applyFont="1" applyFill="1" applyBorder="1" applyAlignment="1">
      <alignment horizontal="center" vertical="center"/>
    </xf>
    <xf numFmtId="0" fontId="0" fillId="39" borderId="0" xfId="0" applyFill="1" applyBorder="1" applyAlignment="1">
      <alignment horizontal="right" vertical="center"/>
    </xf>
    <xf numFmtId="172" fontId="2" fillId="39" borderId="0" xfId="80" applyNumberFormat="1" applyFont="1" applyFill="1" applyBorder="1" applyAlignment="1" applyProtection="1">
      <alignment horizontal="right" vertical="center"/>
      <protection/>
    </xf>
    <xf numFmtId="39" fontId="2" fillId="39" borderId="0" xfId="0" applyNumberFormat="1" applyFont="1" applyFill="1" applyBorder="1" applyAlignment="1">
      <alignment horizontal="right" vertical="center"/>
    </xf>
    <xf numFmtId="0" fontId="0" fillId="39" borderId="0" xfId="0" applyFont="1" applyFill="1" applyBorder="1" applyAlignment="1">
      <alignment horizontal="left" vertical="top"/>
    </xf>
    <xf numFmtId="0" fontId="0" fillId="39" borderId="0" xfId="0" applyFont="1" applyFill="1" applyBorder="1" applyAlignment="1">
      <alignment horizontal="center" vertical="center"/>
    </xf>
    <xf numFmtId="0" fontId="0" fillId="39" borderId="0" xfId="0" applyFont="1" applyFill="1" applyBorder="1" applyAlignment="1">
      <alignment/>
    </xf>
    <xf numFmtId="39" fontId="0" fillId="39" borderId="0" xfId="0" applyNumberFormat="1" applyFill="1" applyBorder="1" applyAlignment="1">
      <alignment/>
    </xf>
    <xf numFmtId="0" fontId="0" fillId="39" borderId="0" xfId="0" applyFill="1" applyBorder="1" applyAlignment="1">
      <alignment vertical="center"/>
    </xf>
    <xf numFmtId="0" fontId="0" fillId="39" borderId="0" xfId="0" applyFill="1" applyBorder="1" applyAlignment="1">
      <alignment horizontal="center" vertical="center"/>
    </xf>
    <xf numFmtId="4" fontId="0" fillId="39" borderId="0" xfId="0" applyNumberFormat="1" applyFill="1" applyBorder="1" applyAlignment="1">
      <alignment horizontal="right" vertical="center"/>
    </xf>
    <xf numFmtId="4" fontId="1" fillId="39" borderId="0" xfId="0" applyNumberFormat="1" applyFont="1" applyFill="1" applyBorder="1" applyAlignment="1">
      <alignment horizontal="right" vertical="center"/>
    </xf>
    <xf numFmtId="0" fontId="3" fillId="39" borderId="0" xfId="0" applyFont="1" applyFill="1" applyBorder="1" applyAlignment="1">
      <alignment horizontal="center" vertical="center"/>
    </xf>
    <xf numFmtId="39" fontId="3" fillId="39" borderId="0" xfId="0" applyNumberFormat="1" applyFont="1" applyFill="1" applyBorder="1" applyAlignment="1">
      <alignment horizontal="right"/>
    </xf>
    <xf numFmtId="39" fontId="3" fillId="39" borderId="0" xfId="0" applyNumberFormat="1" applyFont="1" applyFill="1" applyBorder="1" applyAlignment="1">
      <alignment horizontal="right" vertical="center"/>
    </xf>
    <xf numFmtId="0" fontId="1" fillId="39" borderId="0" xfId="0" applyFont="1" applyFill="1" applyBorder="1" applyAlignment="1">
      <alignment/>
    </xf>
    <xf numFmtId="39" fontId="1" fillId="39" borderId="0" xfId="0" applyNumberFormat="1" applyFont="1" applyFill="1" applyBorder="1" applyAlignment="1">
      <alignment horizontal="right"/>
    </xf>
    <xf numFmtId="39" fontId="0" fillId="39" borderId="0" xfId="0" applyNumberFormat="1" applyFill="1" applyBorder="1" applyAlignment="1">
      <alignment horizontal="right"/>
    </xf>
    <xf numFmtId="4" fontId="0" fillId="39" borderId="0" xfId="0" applyNumberFormat="1" applyFill="1" applyBorder="1" applyAlignment="1">
      <alignment/>
    </xf>
    <xf numFmtId="4" fontId="0" fillId="39" borderId="0" xfId="0" applyNumberFormat="1" applyFill="1" applyBorder="1" applyAlignment="1">
      <alignment horizontal="left"/>
    </xf>
    <xf numFmtId="39" fontId="4" fillId="39" borderId="0" xfId="0" applyNumberFormat="1" applyFont="1" applyFill="1" applyBorder="1" applyAlignment="1">
      <alignment horizontal="right"/>
    </xf>
    <xf numFmtId="0" fontId="1" fillId="39" borderId="0" xfId="0" applyFont="1" applyFill="1" applyBorder="1" applyAlignment="1">
      <alignment horizontal="left" vertical="center"/>
    </xf>
    <xf numFmtId="0" fontId="0" fillId="39" borderId="0" xfId="0" applyFill="1" applyBorder="1" applyAlignment="1">
      <alignment horizontal="left" vertical="center"/>
    </xf>
    <xf numFmtId="0" fontId="0" fillId="39" borderId="0" xfId="0" applyFont="1" applyFill="1" applyBorder="1" applyAlignment="1">
      <alignment horizontal="left" vertical="center"/>
    </xf>
    <xf numFmtId="2" fontId="0" fillId="39" borderId="0" xfId="0" applyNumberFormat="1" applyFill="1" applyBorder="1" applyAlignment="1">
      <alignment horizontal="center" vertical="center"/>
    </xf>
    <xf numFmtId="0" fontId="0" fillId="39" borderId="5" xfId="0" applyNumberFormat="1" applyFont="1" applyFill="1" applyBorder="1" applyAlignment="1">
      <alignment horizontal="center" vertical="center"/>
    </xf>
    <xf numFmtId="0" fontId="0" fillId="39" borderId="5" xfId="0" applyFont="1" applyFill="1" applyBorder="1" applyAlignment="1">
      <alignment horizontal="center" vertical="center"/>
    </xf>
    <xf numFmtId="2" fontId="0" fillId="39" borderId="5" xfId="0" applyNumberFormat="1" applyFill="1" applyBorder="1" applyAlignment="1">
      <alignment horizontal="center" vertical="center"/>
    </xf>
    <xf numFmtId="4" fontId="0" fillId="39" borderId="0" xfId="0" applyNumberFormat="1" applyFill="1" applyBorder="1" applyAlignment="1">
      <alignment horizontal="center" vertical="center"/>
    </xf>
    <xf numFmtId="4" fontId="3" fillId="39" borderId="0" xfId="0" applyNumberFormat="1" applyFont="1" applyFill="1" applyBorder="1" applyAlignment="1">
      <alignment horizontal="center" vertical="center"/>
    </xf>
    <xf numFmtId="172" fontId="1" fillId="39" borderId="0" xfId="80" applyFont="1" applyFill="1" applyBorder="1" applyAlignment="1" applyProtection="1">
      <alignment horizontal="center" vertical="center"/>
      <protection/>
    </xf>
    <xf numFmtId="39" fontId="0" fillId="39" borderId="0" xfId="0" applyNumberFormat="1" applyFill="1" applyBorder="1" applyAlignment="1">
      <alignment horizontal="center" vertical="center"/>
    </xf>
    <xf numFmtId="39" fontId="4" fillId="39" borderId="0" xfId="0" applyNumberFormat="1" applyFont="1" applyFill="1" applyBorder="1" applyAlignment="1">
      <alignment horizontal="center" vertical="center"/>
    </xf>
    <xf numFmtId="0" fontId="37" fillId="2" borderId="0" xfId="15" applyBorder="1" applyAlignment="1">
      <alignment horizontal="right" vertical="center"/>
    </xf>
    <xf numFmtId="0" fontId="37" fillId="2" borderId="0" xfId="15" applyBorder="1" applyAlignment="1">
      <alignment/>
    </xf>
    <xf numFmtId="0" fontId="0" fillId="0" borderId="0" xfId="0" applyBorder="1" applyAlignment="1">
      <alignment/>
    </xf>
    <xf numFmtId="0" fontId="6" fillId="39" borderId="0" xfId="0" applyFont="1" applyFill="1" applyBorder="1" applyAlignment="1">
      <alignment horizontal="center" vertical="center"/>
    </xf>
    <xf numFmtId="0" fontId="45" fillId="33" borderId="5" xfId="47" applyFont="1" applyAlignment="1">
      <alignment horizontal="center" vertical="center"/>
      <protection/>
    </xf>
    <xf numFmtId="0" fontId="56" fillId="33" borderId="5" xfId="47" applyFont="1" applyAlignment="1">
      <alignment horizontal="center" vertical="center"/>
      <protection/>
    </xf>
    <xf numFmtId="0" fontId="56" fillId="33" borderId="5" xfId="47" applyFont="1" applyAlignment="1">
      <alignment horizontal="center" vertical="top"/>
      <protection/>
    </xf>
    <xf numFmtId="0" fontId="45" fillId="33" borderId="5" xfId="47" applyFont="1" applyAlignment="1">
      <alignment vertical="center"/>
      <protection/>
    </xf>
    <xf numFmtId="0" fontId="0" fillId="39" borderId="12" xfId="0" applyFill="1" applyBorder="1" applyAlignment="1">
      <alignment vertical="center"/>
    </xf>
    <xf numFmtId="0" fontId="0" fillId="39" borderId="4" xfId="0" applyFill="1" applyBorder="1" applyAlignment="1">
      <alignment vertical="center"/>
    </xf>
    <xf numFmtId="0" fontId="0" fillId="39" borderId="13" xfId="0" applyFill="1" applyBorder="1" applyAlignment="1">
      <alignment vertical="center"/>
    </xf>
    <xf numFmtId="0" fontId="0" fillId="39" borderId="14" xfId="0" applyFill="1" applyBorder="1" applyAlignment="1">
      <alignment vertical="center"/>
    </xf>
    <xf numFmtId="0" fontId="0" fillId="39" borderId="15" xfId="0" applyFill="1" applyBorder="1" applyAlignment="1">
      <alignment vertical="center"/>
    </xf>
    <xf numFmtId="0" fontId="0" fillId="39" borderId="16" xfId="0" applyFill="1" applyBorder="1" applyAlignment="1">
      <alignment vertical="center"/>
    </xf>
    <xf numFmtId="0" fontId="0" fillId="39" borderId="17" xfId="0" applyFill="1" applyBorder="1" applyAlignment="1">
      <alignment vertical="center"/>
    </xf>
    <xf numFmtId="0" fontId="0" fillId="39" borderId="18" xfId="0" applyFill="1" applyBorder="1" applyAlignment="1">
      <alignment vertical="center"/>
    </xf>
    <xf numFmtId="0" fontId="0" fillId="39" borderId="5" xfId="0" applyFont="1" applyFill="1" applyBorder="1" applyAlignment="1">
      <alignment horizontal="justify" vertical="center" wrapText="1"/>
    </xf>
    <xf numFmtId="4" fontId="45" fillId="33" borderId="19" xfId="47" applyNumberFormat="1" applyFont="1" applyBorder="1" applyAlignment="1">
      <alignment horizontal="right" vertical="center"/>
      <protection/>
    </xf>
    <xf numFmtId="0" fontId="0" fillId="0" borderId="20" xfId="0" applyFont="1" applyFill="1" applyBorder="1" applyAlignment="1">
      <alignment horizontal="center" vertical="center"/>
    </xf>
    <xf numFmtId="0" fontId="4" fillId="0" borderId="5" xfId="0" applyFont="1" applyBorder="1" applyAlignment="1">
      <alignment vertical="center"/>
    </xf>
    <xf numFmtId="10" fontId="4" fillId="0" borderId="5" xfId="66" applyNumberFormat="1" applyFont="1" applyBorder="1" applyAlignment="1">
      <alignment horizontal="center" vertical="center"/>
    </xf>
    <xf numFmtId="10" fontId="4" fillId="0" borderId="5" xfId="0" applyNumberFormat="1" applyFont="1" applyBorder="1" applyAlignment="1">
      <alignment horizontal="center" vertical="center"/>
    </xf>
    <xf numFmtId="4" fontId="4" fillId="0" borderId="5" xfId="0" applyNumberFormat="1" applyFont="1" applyBorder="1" applyAlignment="1">
      <alignment vertical="center"/>
    </xf>
    <xf numFmtId="0" fontId="57" fillId="33" borderId="20" xfId="47" applyFont="1" applyBorder="1" applyAlignment="1">
      <alignment horizontal="center" vertical="center"/>
      <protection/>
    </xf>
    <xf numFmtId="0" fontId="57" fillId="33" borderId="20" xfId="47" applyFont="1" applyBorder="1" applyAlignment="1">
      <alignment horizontal="center" vertical="center" wrapText="1"/>
      <protection/>
    </xf>
    <xf numFmtId="4" fontId="0" fillId="0" borderId="0" xfId="0" applyNumberFormat="1" applyAlignment="1">
      <alignment/>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10" fillId="0" borderId="0" xfId="0" applyFont="1" applyAlignment="1" applyProtection="1">
      <alignment/>
      <protection/>
    </xf>
    <xf numFmtId="0" fontId="0" fillId="0" borderId="24" xfId="0" applyBorder="1" applyAlignment="1" applyProtection="1">
      <alignment/>
      <protection/>
    </xf>
    <xf numFmtId="0" fontId="0" fillId="0" borderId="0" xfId="0" applyBorder="1" applyAlignment="1" applyProtection="1">
      <alignment/>
      <protection/>
    </xf>
    <xf numFmtId="0" fontId="0" fillId="0" borderId="25" xfId="0" applyBorder="1" applyAlignment="1" applyProtection="1">
      <alignment/>
      <protection/>
    </xf>
    <xf numFmtId="0" fontId="0" fillId="0" borderId="26" xfId="0" applyFill="1" applyBorder="1" applyAlignment="1" applyProtection="1">
      <alignment/>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4" fontId="1" fillId="0" borderId="27" xfId="0" applyNumberFormat="1" applyFont="1" applyFill="1" applyBorder="1" applyAlignment="1" applyProtection="1">
      <alignment horizontal="center" wrapText="1"/>
      <protection/>
    </xf>
    <xf numFmtId="0" fontId="1" fillId="0" borderId="27" xfId="0" applyFont="1" applyFill="1" applyBorder="1" applyAlignment="1" applyProtection="1">
      <alignment horizontal="center"/>
      <protection/>
    </xf>
    <xf numFmtId="0" fontId="1" fillId="0" borderId="28" xfId="0" applyFont="1" applyFill="1" applyBorder="1" applyAlignment="1" applyProtection="1">
      <alignment horizontal="center"/>
      <protection/>
    </xf>
    <xf numFmtId="0" fontId="0" fillId="0" borderId="29" xfId="0" applyBorder="1" applyAlignment="1" applyProtection="1">
      <alignment horizontal="center" vertical="center"/>
      <protection/>
    </xf>
    <xf numFmtId="0" fontId="0" fillId="0" borderId="5" xfId="0" applyFont="1" applyBorder="1" applyAlignment="1" applyProtection="1">
      <alignment horizontal="center"/>
      <protection/>
    </xf>
    <xf numFmtId="10" fontId="0" fillId="40" borderId="5" xfId="0" applyNumberFormat="1" applyFont="1" applyFill="1" applyBorder="1" applyAlignment="1" applyProtection="1">
      <alignment horizontal="center" vertical="center"/>
      <protection locked="0"/>
    </xf>
    <xf numFmtId="4" fontId="1" fillId="0" borderId="5" xfId="0" applyNumberFormat="1" applyFont="1" applyFill="1" applyBorder="1" applyAlignment="1" applyProtection="1">
      <alignment horizontal="center" vertical="center"/>
      <protection/>
    </xf>
    <xf numFmtId="10" fontId="0" fillId="0" borderId="20" xfId="0" applyNumberFormat="1" applyFont="1" applyFill="1" applyBorder="1" applyAlignment="1" applyProtection="1">
      <alignment horizontal="center" vertical="center"/>
      <protection/>
    </xf>
    <xf numFmtId="10" fontId="0" fillId="0" borderId="30" xfId="0" applyNumberFormat="1" applyFont="1" applyFill="1" applyBorder="1" applyAlignment="1" applyProtection="1">
      <alignment horizontal="center" vertical="center"/>
      <protection/>
    </xf>
    <xf numFmtId="2" fontId="0" fillId="0" borderId="0" xfId="0" applyNumberFormat="1" applyAlignment="1">
      <alignment/>
    </xf>
    <xf numFmtId="0" fontId="0" fillId="0" borderId="29" xfId="0" applyBorder="1" applyAlignment="1" applyProtection="1">
      <alignment horizontal="center" vertical="center" wrapText="1"/>
      <protection/>
    </xf>
    <xf numFmtId="10" fontId="0" fillId="0" borderId="5" xfId="0" applyNumberFormat="1" applyFont="1" applyFill="1" applyBorder="1" applyAlignment="1" applyProtection="1">
      <alignment horizontal="center" vertical="center"/>
      <protection/>
    </xf>
    <xf numFmtId="10" fontId="0" fillId="0" borderId="31" xfId="0" applyNumberFormat="1" applyFont="1" applyFill="1" applyBorder="1" applyAlignment="1" applyProtection="1">
      <alignment horizontal="center" vertical="center"/>
      <protection/>
    </xf>
    <xf numFmtId="10" fontId="0" fillId="41" borderId="5" xfId="0" applyNumberFormat="1" applyFont="1" applyFill="1" applyBorder="1" applyAlignment="1" applyProtection="1">
      <alignment horizontal="center" vertical="center"/>
      <protection/>
    </xf>
    <xf numFmtId="0" fontId="0" fillId="0" borderId="29" xfId="0" applyFont="1" applyBorder="1" applyAlignment="1" applyProtection="1">
      <alignment horizontal="center" vertical="center" wrapText="1"/>
      <protection/>
    </xf>
    <xf numFmtId="10" fontId="0" fillId="0" borderId="5" xfId="0" applyNumberFormat="1" applyFont="1" applyFill="1" applyBorder="1" applyAlignment="1" applyProtection="1">
      <alignment horizontal="center" vertical="center" wrapText="1"/>
      <protection/>
    </xf>
    <xf numFmtId="10" fontId="0" fillId="0" borderId="31" xfId="0" applyNumberFormat="1"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4" fontId="1" fillId="0" borderId="20" xfId="0" applyNumberFormat="1" applyFont="1" applyFill="1" applyBorder="1" applyAlignment="1" applyProtection="1">
      <alignment horizontal="center" vertical="center"/>
      <protection/>
    </xf>
    <xf numFmtId="0" fontId="1" fillId="0" borderId="33" xfId="0" applyFont="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10" fontId="11" fillId="0" borderId="35" xfId="0" applyNumberFormat="1" applyFont="1" applyFill="1" applyBorder="1" applyAlignment="1" applyProtection="1">
      <alignment horizontal="center" vertical="center"/>
      <protection/>
    </xf>
    <xf numFmtId="4" fontId="1" fillId="0" borderId="36" xfId="0" applyNumberFormat="1" applyFont="1" applyFill="1" applyBorder="1" applyAlignment="1" applyProtection="1">
      <alignment horizontal="center" vertical="center"/>
      <protection/>
    </xf>
    <xf numFmtId="2" fontId="12" fillId="0" borderId="37" xfId="0" applyNumberFormat="1" applyFont="1" applyFill="1" applyBorder="1" applyAlignment="1" applyProtection="1">
      <alignment horizontal="center" vertical="center"/>
      <protection/>
    </xf>
    <xf numFmtId="2" fontId="12" fillId="0" borderId="38" xfId="0" applyNumberFormat="1" applyFont="1" applyFill="1" applyBorder="1" applyAlignment="1" applyProtection="1">
      <alignment horizontal="center" vertical="center"/>
      <protection/>
    </xf>
    <xf numFmtId="0" fontId="6" fillId="0" borderId="39" xfId="0" applyFont="1" applyBorder="1" applyAlignment="1" applyProtection="1">
      <alignment horizontal="center" vertical="top"/>
      <protection/>
    </xf>
    <xf numFmtId="0" fontId="6" fillId="0" borderId="4" xfId="0" applyFont="1" applyBorder="1" applyAlignment="1" applyProtection="1">
      <alignment horizontal="center" vertical="top"/>
      <protection/>
    </xf>
    <xf numFmtId="0" fontId="6" fillId="0" borderId="40" xfId="0" applyFont="1" applyBorder="1" applyAlignment="1" applyProtection="1">
      <alignment horizontal="center" vertical="top"/>
      <protection/>
    </xf>
    <xf numFmtId="0" fontId="1" fillId="0" borderId="0"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5" xfId="0" applyFont="1" applyBorder="1" applyAlignment="1" applyProtection="1">
      <alignment horizontal="center"/>
      <protection/>
    </xf>
    <xf numFmtId="10" fontId="12" fillId="0" borderId="5" xfId="0" applyNumberFormat="1" applyFont="1" applyFill="1" applyBorder="1" applyAlignment="1" applyProtection="1">
      <alignment horizontal="center"/>
      <protection/>
    </xf>
    <xf numFmtId="10" fontId="12" fillId="0" borderId="31" xfId="0" applyNumberFormat="1" applyFont="1" applyFill="1" applyBorder="1" applyAlignment="1" applyProtection="1">
      <alignment horizontal="center"/>
      <protection/>
    </xf>
    <xf numFmtId="0" fontId="1" fillId="0" borderId="5" xfId="0" applyFont="1" applyFill="1" applyBorder="1" applyAlignment="1" applyProtection="1">
      <alignment horizontal="center" vertical="center" wrapText="1"/>
      <protection/>
    </xf>
    <xf numFmtId="0" fontId="0" fillId="0" borderId="41"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0" xfId="0" applyAlignment="1" applyProtection="1">
      <alignment/>
      <protection/>
    </xf>
    <xf numFmtId="0" fontId="0" fillId="0" borderId="0" xfId="0" applyAlignment="1">
      <alignment horizontal="center" vertical="center"/>
    </xf>
    <xf numFmtId="0" fontId="0" fillId="0" borderId="5" xfId="0" applyBorder="1" applyAlignment="1">
      <alignment vertical="center" wrapText="1"/>
    </xf>
    <xf numFmtId="14" fontId="4" fillId="0" borderId="18" xfId="0" applyNumberFormat="1" applyFont="1" applyBorder="1" applyAlignment="1">
      <alignment horizontal="center" vertical="center"/>
    </xf>
    <xf numFmtId="49" fontId="0" fillId="0" borderId="20" xfId="0" applyNumberFormat="1" applyFont="1" applyFill="1" applyBorder="1" applyAlignment="1">
      <alignment horizontal="center" vertical="center"/>
    </xf>
    <xf numFmtId="0" fontId="1" fillId="39" borderId="0" xfId="0" applyFont="1" applyFill="1" applyBorder="1" applyAlignment="1">
      <alignment vertical="center"/>
    </xf>
    <xf numFmtId="0" fontId="1" fillId="39" borderId="0" xfId="0" applyFont="1" applyFill="1" applyBorder="1" applyAlignment="1">
      <alignment/>
    </xf>
    <xf numFmtId="0" fontId="58" fillId="0" borderId="0" xfId="0" applyFont="1" applyFill="1" applyBorder="1" applyAlignment="1">
      <alignment vertical="center"/>
    </xf>
    <xf numFmtId="14" fontId="7" fillId="0" borderId="13" xfId="0" applyNumberFormat="1" applyFont="1" applyBorder="1" applyAlignment="1">
      <alignment horizontal="center" vertical="center"/>
    </xf>
    <xf numFmtId="0" fontId="0" fillId="0" borderId="5" xfId="0" applyFont="1" applyBorder="1" applyAlignment="1">
      <alignment horizontal="center" vertical="center" wrapText="1"/>
    </xf>
    <xf numFmtId="0" fontId="0" fillId="0" borderId="0" xfId="0" applyAlignment="1">
      <alignment wrapText="1"/>
    </xf>
    <xf numFmtId="0" fontId="45" fillId="33" borderId="44" xfId="47" applyFont="1" applyBorder="1" applyAlignment="1">
      <alignment horizontal="center" vertical="center"/>
      <protection/>
    </xf>
    <xf numFmtId="0" fontId="56" fillId="33" borderId="45" xfId="47" applyFont="1" applyBorder="1" applyAlignment="1">
      <alignment horizontal="center" vertical="center"/>
      <protection/>
    </xf>
    <xf numFmtId="191" fontId="45" fillId="33" borderId="45" xfId="47" applyNumberFormat="1" applyFont="1" applyBorder="1" applyAlignment="1">
      <alignment horizontal="center" vertical="center"/>
      <protection/>
    </xf>
    <xf numFmtId="0" fontId="5" fillId="0" borderId="13" xfId="0" applyFont="1" applyFill="1" applyBorder="1" applyAlignment="1">
      <alignment horizontal="center" vertical="center" wrapText="1"/>
    </xf>
    <xf numFmtId="0" fontId="45" fillId="33" borderId="5" xfId="47" applyFont="1" applyAlignment="1">
      <alignment vertical="center" wrapText="1"/>
      <protection/>
    </xf>
    <xf numFmtId="182" fontId="0" fillId="39" borderId="5" xfId="0" applyNumberFormat="1" applyFill="1" applyBorder="1" applyAlignment="1">
      <alignment horizontal="center" vertical="center"/>
    </xf>
    <xf numFmtId="44" fontId="0" fillId="39" borderId="46" xfId="0" applyNumberFormat="1" applyFill="1" applyBorder="1" applyAlignment="1">
      <alignment horizontal="center" vertical="center"/>
    </xf>
    <xf numFmtId="44" fontId="0" fillId="39" borderId="46" xfId="0" applyNumberFormat="1" applyFill="1" applyBorder="1" applyAlignment="1">
      <alignment horizontal="right" vertical="center"/>
    </xf>
    <xf numFmtId="44" fontId="45" fillId="33" borderId="19" xfId="47" applyNumberFormat="1" applyFont="1" applyBorder="1" applyAlignment="1">
      <alignment horizontal="right" vertical="center"/>
      <protection/>
    </xf>
    <xf numFmtId="4" fontId="0" fillId="39" borderId="0" xfId="0" applyNumberFormat="1" applyFont="1" applyFill="1" applyBorder="1" applyAlignment="1">
      <alignment/>
    </xf>
    <xf numFmtId="49" fontId="0" fillId="0" borderId="5" xfId="0" applyNumberFormat="1" applyFont="1" applyFill="1" applyBorder="1" applyAlignment="1">
      <alignment horizontal="center" vertical="center"/>
    </xf>
    <xf numFmtId="0" fontId="0" fillId="39" borderId="20" xfId="0" applyFont="1" applyFill="1" applyBorder="1" applyAlignment="1">
      <alignment horizontal="center" vertical="center"/>
    </xf>
    <xf numFmtId="0" fontId="0" fillId="39" borderId="20" xfId="0" applyNumberFormat="1" applyFont="1" applyFill="1" applyBorder="1" applyAlignment="1">
      <alignment horizontal="center" vertical="center"/>
    </xf>
    <xf numFmtId="0" fontId="0" fillId="39" borderId="20" xfId="0" applyFont="1" applyFill="1" applyBorder="1" applyAlignment="1">
      <alignment horizontal="justify" vertical="center" wrapText="1"/>
    </xf>
    <xf numFmtId="2" fontId="0" fillId="39" borderId="20" xfId="0" applyNumberFormat="1" applyFill="1" applyBorder="1" applyAlignment="1">
      <alignment horizontal="center" vertical="center"/>
    </xf>
    <xf numFmtId="44" fontId="0" fillId="39" borderId="47" xfId="0" applyNumberFormat="1" applyFill="1" applyBorder="1" applyAlignment="1">
      <alignment horizontal="center" vertical="center"/>
    </xf>
    <xf numFmtId="44" fontId="0" fillId="39" borderId="47" xfId="0" applyNumberFormat="1" applyFill="1" applyBorder="1" applyAlignment="1">
      <alignment horizontal="right" vertical="center"/>
    </xf>
    <xf numFmtId="44" fontId="0" fillId="39" borderId="45" xfId="0" applyNumberFormat="1" applyFill="1" applyBorder="1" applyAlignment="1">
      <alignment horizontal="center" vertical="center"/>
    </xf>
    <xf numFmtId="49" fontId="45" fillId="33" borderId="5" xfId="47" applyNumberFormat="1" applyFont="1" applyAlignment="1">
      <alignment horizontal="center" vertical="center"/>
      <protection/>
    </xf>
    <xf numFmtId="0" fontId="0" fillId="0" borderId="0" xfId="0" applyBorder="1" applyAlignment="1">
      <alignment horizontal="center" vertical="center" wrapText="1"/>
    </xf>
    <xf numFmtId="0" fontId="0" fillId="0" borderId="5" xfId="0" applyFont="1" applyBorder="1" applyAlignment="1">
      <alignment horizontal="center" vertical="center"/>
    </xf>
    <xf numFmtId="2" fontId="0" fillId="39" borderId="5" xfId="0" applyNumberFormat="1" applyFont="1" applyFill="1" applyBorder="1" applyAlignment="1">
      <alignment horizontal="center" vertical="center"/>
    </xf>
    <xf numFmtId="2" fontId="0" fillId="39" borderId="5"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vertical="center" wrapText="1"/>
    </xf>
    <xf numFmtId="2" fontId="0" fillId="39" borderId="0" xfId="0" applyNumberFormat="1" applyFont="1" applyFill="1" applyBorder="1" applyAlignment="1">
      <alignment horizontal="center" vertical="center"/>
    </xf>
    <xf numFmtId="0" fontId="5" fillId="0" borderId="48" xfId="0" applyFont="1" applyFill="1" applyBorder="1" applyAlignment="1">
      <alignment horizontal="center" vertical="center" wrapText="1"/>
    </xf>
    <xf numFmtId="0" fontId="0" fillId="40" borderId="49" xfId="0" applyFill="1" applyBorder="1" applyAlignment="1" applyProtection="1">
      <alignment horizontal="left" wrapText="1"/>
      <protection locked="0"/>
    </xf>
    <xf numFmtId="0" fontId="0" fillId="0" borderId="45" xfId="0" applyBorder="1" applyAlignment="1">
      <alignment/>
    </xf>
    <xf numFmtId="0" fontId="0" fillId="40" borderId="5" xfId="0" applyFont="1" applyFill="1" applyBorder="1" applyAlignment="1" applyProtection="1">
      <alignment horizontal="left" wrapText="1"/>
      <protection locked="0"/>
    </xf>
    <xf numFmtId="0" fontId="0" fillId="40" borderId="5" xfId="0" applyFill="1" applyBorder="1" applyAlignment="1" applyProtection="1">
      <alignment horizontal="left" wrapText="1"/>
      <protection locked="0"/>
    </xf>
    <xf numFmtId="0" fontId="0" fillId="40" borderId="31" xfId="0" applyFill="1" applyBorder="1" applyAlignment="1" applyProtection="1">
      <alignment horizontal="left" wrapText="1"/>
      <protection locked="0"/>
    </xf>
    <xf numFmtId="0" fontId="0" fillId="0" borderId="49" xfId="0" applyBorder="1" applyAlignment="1" applyProtection="1">
      <alignment horizontal="left"/>
      <protection/>
    </xf>
    <xf numFmtId="0" fontId="0" fillId="0" borderId="5" xfId="0" applyBorder="1" applyAlignment="1" applyProtection="1">
      <alignment horizontal="left"/>
      <protection/>
    </xf>
    <xf numFmtId="0" fontId="0" fillId="0" borderId="31" xfId="0" applyBorder="1" applyAlignment="1" applyProtection="1">
      <alignment horizontal="left"/>
      <protection/>
    </xf>
    <xf numFmtId="0" fontId="0" fillId="0" borderId="50" xfId="0" applyFill="1" applyBorder="1" applyAlignment="1" applyProtection="1">
      <alignment horizontal="left"/>
      <protection/>
    </xf>
    <xf numFmtId="0" fontId="0" fillId="0" borderId="51" xfId="0" applyFill="1" applyBorder="1" applyAlignment="1" applyProtection="1">
      <alignment horizontal="left"/>
      <protection/>
    </xf>
    <xf numFmtId="10" fontId="0" fillId="40" borderId="51" xfId="0" applyNumberFormat="1" applyFill="1" applyBorder="1" applyAlignment="1" applyProtection="1">
      <alignment horizontal="center"/>
      <protection locked="0"/>
    </xf>
    <xf numFmtId="10" fontId="0" fillId="40" borderId="52" xfId="0" applyNumberFormat="1" applyFill="1" applyBorder="1" applyAlignment="1" applyProtection="1">
      <alignment horizontal="center"/>
      <protection locked="0"/>
    </xf>
    <xf numFmtId="0" fontId="6" fillId="0" borderId="49" xfId="0" applyFont="1" applyBorder="1" applyAlignment="1" applyProtection="1">
      <alignment horizontal="center" vertical="top"/>
      <protection/>
    </xf>
    <xf numFmtId="0" fontId="6" fillId="0" borderId="53" xfId="0" applyFont="1" applyBorder="1" applyAlignment="1" applyProtection="1">
      <alignment horizontal="center" vertical="top"/>
      <protection/>
    </xf>
    <xf numFmtId="0" fontId="6" fillId="0" borderId="54" xfId="0" applyFont="1" applyBorder="1" applyAlignment="1" applyProtection="1">
      <alignment horizontal="center" vertical="top"/>
      <protection/>
    </xf>
    <xf numFmtId="0" fontId="13" fillId="0" borderId="29" xfId="0" applyFont="1" applyBorder="1" applyAlignment="1" applyProtection="1">
      <alignment horizontal="left" vertical="top" wrapText="1"/>
      <protection/>
    </xf>
    <xf numFmtId="0" fontId="13" fillId="0" borderId="5" xfId="0" applyFont="1" applyBorder="1" applyAlignment="1" applyProtection="1">
      <alignment horizontal="left" vertical="top" wrapText="1"/>
      <protection/>
    </xf>
    <xf numFmtId="0" fontId="13" fillId="0" borderId="31" xfId="0" applyFont="1" applyBorder="1" applyAlignment="1" applyProtection="1">
      <alignment horizontal="left" vertical="top" wrapText="1"/>
      <protection/>
    </xf>
    <xf numFmtId="0" fontId="0" fillId="40" borderId="44" xfId="0" applyFont="1" applyFill="1" applyBorder="1" applyAlignment="1" applyProtection="1">
      <alignment horizontal="left" wrapText="1"/>
      <protection locked="0"/>
    </xf>
    <xf numFmtId="0" fontId="0" fillId="40" borderId="53" xfId="0" applyFont="1" applyFill="1" applyBorder="1" applyAlignment="1" applyProtection="1">
      <alignment horizontal="left" wrapText="1"/>
      <protection locked="0"/>
    </xf>
    <xf numFmtId="0" fontId="0" fillId="40" borderId="54" xfId="0" applyFont="1" applyFill="1" applyBorder="1" applyAlignment="1" applyProtection="1">
      <alignment horizontal="left" wrapText="1"/>
      <protection locked="0"/>
    </xf>
    <xf numFmtId="0" fontId="10" fillId="0" borderId="24"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25" xfId="0" applyFont="1" applyBorder="1" applyAlignment="1" applyProtection="1">
      <alignment horizontal="center"/>
      <protection/>
    </xf>
    <xf numFmtId="0" fontId="0" fillId="40" borderId="27" xfId="0" applyFont="1" applyFill="1" applyBorder="1" applyAlignment="1" applyProtection="1">
      <alignment horizontal="left"/>
      <protection locked="0"/>
    </xf>
    <xf numFmtId="0" fontId="0" fillId="40" borderId="27" xfId="0" applyFill="1" applyBorder="1" applyAlignment="1" applyProtection="1">
      <alignment horizontal="left"/>
      <protection locked="0"/>
    </xf>
    <xf numFmtId="0" fontId="0" fillId="40" borderId="28" xfId="0" applyFill="1" applyBorder="1" applyAlignment="1" applyProtection="1">
      <alignment horizontal="left"/>
      <protection locked="0"/>
    </xf>
    <xf numFmtId="0" fontId="0" fillId="0" borderId="55" xfId="0" applyBorder="1" applyAlignment="1" applyProtection="1">
      <alignment horizontal="left"/>
      <protection/>
    </xf>
    <xf numFmtId="0" fontId="0" fillId="0" borderId="56" xfId="0" applyBorder="1" applyAlignment="1" applyProtection="1">
      <alignment horizontal="left"/>
      <protection/>
    </xf>
    <xf numFmtId="0" fontId="0" fillId="0" borderId="57" xfId="0" applyBorder="1" applyAlignment="1" applyProtection="1">
      <alignment horizontal="left"/>
      <protection/>
    </xf>
    <xf numFmtId="170" fontId="1" fillId="40" borderId="50" xfId="50" applyFont="1" applyFill="1" applyBorder="1" applyAlignment="1" applyProtection="1">
      <alignment horizontal="left"/>
      <protection locked="0"/>
    </xf>
    <xf numFmtId="170" fontId="1" fillId="40" borderId="51" xfId="50" applyFont="1" applyFill="1" applyBorder="1" applyAlignment="1" applyProtection="1">
      <alignment horizontal="left"/>
      <protection locked="0"/>
    </xf>
    <xf numFmtId="170" fontId="1" fillId="40" borderId="52" xfId="50" applyFont="1" applyFill="1" applyBorder="1" applyAlignment="1" applyProtection="1">
      <alignment horizontal="left"/>
      <protection locked="0"/>
    </xf>
    <xf numFmtId="0" fontId="0" fillId="0" borderId="55" xfId="0" applyFill="1" applyBorder="1" applyAlignment="1" applyProtection="1">
      <alignment horizontal="left" wrapText="1"/>
      <protection/>
    </xf>
    <xf numFmtId="0" fontId="0" fillId="0" borderId="56" xfId="0" applyFill="1" applyBorder="1" applyAlignment="1" applyProtection="1">
      <alignment horizontal="left" wrapText="1"/>
      <protection/>
    </xf>
    <xf numFmtId="0" fontId="0" fillId="0" borderId="58" xfId="0" applyFill="1" applyBorder="1" applyAlignment="1" applyProtection="1">
      <alignment horizontal="left" wrapText="1"/>
      <protection/>
    </xf>
    <xf numFmtId="10" fontId="0" fillId="40" borderId="27" xfId="0" applyNumberFormat="1" applyFill="1" applyBorder="1" applyAlignment="1" applyProtection="1">
      <alignment horizontal="center"/>
      <protection locked="0"/>
    </xf>
    <xf numFmtId="10" fontId="0" fillId="40" borderId="28" xfId="0" applyNumberFormat="1" applyFill="1" applyBorder="1" applyAlignment="1" applyProtection="1">
      <alignment horizontal="center"/>
      <protection locked="0"/>
    </xf>
    <xf numFmtId="0" fontId="0" fillId="40" borderId="12" xfId="0" applyFont="1" applyFill="1" applyBorder="1" applyAlignment="1" applyProtection="1">
      <alignment horizontal="left" vertical="center" wrapText="1"/>
      <protection locked="0"/>
    </xf>
    <xf numFmtId="0" fontId="0" fillId="40" borderId="4" xfId="0" applyFont="1" applyFill="1" applyBorder="1" applyAlignment="1" applyProtection="1">
      <alignment horizontal="left" vertical="center" wrapText="1"/>
      <protection locked="0"/>
    </xf>
    <xf numFmtId="0" fontId="0" fillId="40" borderId="40" xfId="0" applyFont="1" applyFill="1" applyBorder="1" applyAlignment="1" applyProtection="1">
      <alignment horizontal="left" vertical="center" wrapText="1"/>
      <protection locked="0"/>
    </xf>
    <xf numFmtId="0" fontId="0" fillId="40" borderId="59" xfId="0" applyFont="1" applyFill="1" applyBorder="1" applyAlignment="1" applyProtection="1">
      <alignment horizontal="left" vertical="center" wrapText="1"/>
      <protection locked="0"/>
    </xf>
    <xf numFmtId="0" fontId="0" fillId="40" borderId="42" xfId="0" applyFont="1" applyFill="1" applyBorder="1" applyAlignment="1" applyProtection="1">
      <alignment horizontal="left" vertical="center" wrapText="1"/>
      <protection locked="0"/>
    </xf>
    <xf numFmtId="0" fontId="0" fillId="40" borderId="43"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protection/>
    </xf>
    <xf numFmtId="0" fontId="0" fillId="0" borderId="41" xfId="0" applyFill="1" applyBorder="1" applyAlignment="1" applyProtection="1">
      <alignment horizontal="left" vertical="center"/>
      <protection/>
    </xf>
    <xf numFmtId="44" fontId="0" fillId="39" borderId="44" xfId="0" applyNumberFormat="1" applyFill="1" applyBorder="1" applyAlignment="1">
      <alignment horizontal="center" vertical="center"/>
    </xf>
    <xf numFmtId="44" fontId="0" fillId="39" borderId="53" xfId="0" applyNumberFormat="1" applyFill="1" applyBorder="1" applyAlignment="1">
      <alignment horizontal="center" vertical="center"/>
    </xf>
    <xf numFmtId="44" fontId="0" fillId="39" borderId="45" xfId="0" applyNumberFormat="1" applyFill="1" applyBorder="1" applyAlignment="1">
      <alignment horizontal="center" vertical="center"/>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5" fillId="33" borderId="13" xfId="47" applyFont="1" applyBorder="1" applyAlignment="1">
      <alignment horizontal="center" vertical="center"/>
      <protection/>
    </xf>
    <xf numFmtId="0" fontId="45" fillId="33" borderId="15" xfId="47" applyFont="1" applyBorder="1" applyAlignment="1">
      <alignment horizontal="center" vertical="center"/>
      <protection/>
    </xf>
    <xf numFmtId="0" fontId="45" fillId="33" borderId="18" xfId="47" applyFont="1" applyBorder="1" applyAlignment="1">
      <alignment horizontal="center" vertical="center"/>
      <protection/>
    </xf>
    <xf numFmtId="0" fontId="5" fillId="0" borderId="2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10" fontId="59" fillId="0" borderId="66" xfId="0" applyNumberFormat="1" applyFont="1" applyFill="1" applyBorder="1" applyAlignment="1">
      <alignment horizontal="center" vertical="center" shrinkToFit="1"/>
    </xf>
    <xf numFmtId="10" fontId="59" fillId="0" borderId="67" xfId="0" applyNumberFormat="1" applyFont="1" applyFill="1" applyBorder="1" applyAlignment="1">
      <alignment horizontal="center" vertical="center" shrinkToFit="1"/>
    </xf>
    <xf numFmtId="10" fontId="59" fillId="0" borderId="68" xfId="0" applyNumberFormat="1" applyFont="1" applyFill="1" applyBorder="1" applyAlignment="1">
      <alignment horizontal="center" vertical="center" shrinkToFit="1"/>
    </xf>
    <xf numFmtId="14" fontId="59" fillId="0" borderId="65" xfId="0" applyNumberFormat="1" applyFont="1" applyFill="1" applyBorder="1" applyAlignment="1">
      <alignment horizontal="center" vertical="center" shrinkToFit="1"/>
    </xf>
    <xf numFmtId="14" fontId="59" fillId="0" borderId="15" xfId="0" applyNumberFormat="1" applyFont="1" applyFill="1" applyBorder="1" applyAlignment="1">
      <alignment horizontal="center" vertical="center" shrinkToFit="1"/>
    </xf>
    <xf numFmtId="14" fontId="59" fillId="0" borderId="18" xfId="0" applyNumberFormat="1"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0" fillId="39" borderId="44" xfId="0" applyFill="1" applyBorder="1" applyAlignment="1">
      <alignment horizontal="center" vertical="center"/>
    </xf>
    <xf numFmtId="0" fontId="0" fillId="39" borderId="53" xfId="0" applyFill="1" applyBorder="1" applyAlignment="1">
      <alignment horizontal="center" vertical="center"/>
    </xf>
    <xf numFmtId="0" fontId="0" fillId="39" borderId="45" xfId="0" applyFill="1" applyBorder="1" applyAlignment="1">
      <alignment horizontal="center" vertical="center"/>
    </xf>
    <xf numFmtId="0" fontId="8" fillId="32" borderId="44" xfId="46" applyFont="1" applyBorder="1" applyAlignment="1">
      <alignment horizontal="center" vertical="center"/>
      <protection/>
    </xf>
    <xf numFmtId="0" fontId="8" fillId="32" borderId="53" xfId="46" applyFont="1" applyBorder="1" applyAlignment="1">
      <alignment horizontal="center" vertical="center"/>
      <protection/>
    </xf>
    <xf numFmtId="0" fontId="8" fillId="32" borderId="45" xfId="46" applyFont="1" applyBorder="1" applyAlignment="1">
      <alignment horizontal="center" vertical="center"/>
      <protection/>
    </xf>
    <xf numFmtId="0" fontId="45" fillId="33" borderId="20" xfId="47" applyFont="1" applyBorder="1" applyAlignment="1">
      <alignment horizontal="center" vertical="center"/>
      <protection/>
    </xf>
    <xf numFmtId="0" fontId="45" fillId="33" borderId="68" xfId="47" applyFont="1" applyBorder="1" applyAlignment="1">
      <alignment horizontal="center" vertical="center"/>
      <protection/>
    </xf>
    <xf numFmtId="4" fontId="1" fillId="32" borderId="13" xfId="46" applyNumberFormat="1" applyFont="1" applyBorder="1" applyAlignment="1">
      <alignment horizontal="center" vertical="center" wrapText="1"/>
      <protection/>
    </xf>
    <xf numFmtId="4" fontId="1" fillId="32" borderId="18" xfId="46" applyNumberFormat="1" applyFont="1" applyBorder="1" applyAlignment="1">
      <alignment horizontal="center" vertical="center" wrapText="1"/>
      <protection/>
    </xf>
    <xf numFmtId="44" fontId="1" fillId="32" borderId="69" xfId="80" applyNumberFormat="1" applyFont="1" applyFill="1" applyBorder="1" applyAlignment="1">
      <alignment horizontal="center" vertical="center" wrapText="1"/>
    </xf>
    <xf numFmtId="0" fontId="0" fillId="39" borderId="0" xfId="0" applyFill="1" applyBorder="1" applyAlignment="1">
      <alignment horizontal="center" vertical="center"/>
    </xf>
    <xf numFmtId="0" fontId="1" fillId="39" borderId="0" xfId="0" applyFont="1" applyFill="1" applyBorder="1" applyAlignment="1">
      <alignment horizontal="center" vertical="center"/>
    </xf>
    <xf numFmtId="0" fontId="1" fillId="39" borderId="0" xfId="0" applyFont="1" applyFill="1" applyBorder="1" applyAlignment="1">
      <alignment horizontal="center"/>
    </xf>
    <xf numFmtId="0" fontId="5" fillId="32" borderId="5" xfId="46" applyBorder="1" applyAlignment="1">
      <alignment horizontal="center" vertical="center" wrapText="1"/>
      <protection/>
    </xf>
    <xf numFmtId="0" fontId="5" fillId="32" borderId="44" xfId="46" applyBorder="1" applyAlignment="1">
      <alignment horizontal="center" vertical="center" wrapText="1"/>
      <protection/>
    </xf>
    <xf numFmtId="0" fontId="5" fillId="32" borderId="53" xfId="46" applyBorder="1" applyAlignment="1">
      <alignment horizontal="center" vertical="center" wrapText="1"/>
      <protection/>
    </xf>
    <xf numFmtId="0" fontId="5" fillId="32" borderId="13" xfId="46" applyBorder="1" applyAlignment="1">
      <alignment horizontal="center" vertical="center" wrapText="1"/>
      <protection/>
    </xf>
    <xf numFmtId="0" fontId="5" fillId="32" borderId="18" xfId="46" applyBorder="1" applyAlignment="1">
      <alignment horizontal="center" vertical="center" wrapText="1"/>
      <protection/>
    </xf>
    <xf numFmtId="4" fontId="1" fillId="32" borderId="45" xfId="46" applyNumberFormat="1" applyFont="1" applyBorder="1" applyAlignment="1">
      <alignment horizontal="center" vertical="center" wrapText="1"/>
      <protection/>
    </xf>
    <xf numFmtId="0" fontId="1" fillId="32" borderId="45" xfId="46" applyFont="1" applyBorder="1" applyAlignment="1">
      <alignment horizontal="center" vertical="center" wrapText="1"/>
      <protection/>
    </xf>
    <xf numFmtId="0" fontId="3" fillId="39" borderId="0" xfId="0" applyFont="1" applyFill="1" applyBorder="1" applyAlignment="1">
      <alignment/>
    </xf>
    <xf numFmtId="0" fontId="3" fillId="39" borderId="0" xfId="0" applyFont="1" applyFill="1" applyBorder="1" applyAlignment="1">
      <alignment horizontal="center" vertical="center"/>
    </xf>
    <xf numFmtId="0" fontId="45" fillId="33" borderId="44" xfId="47" applyFont="1" applyBorder="1" applyAlignment="1">
      <alignment horizontal="center" vertical="center"/>
      <protection/>
    </xf>
    <xf numFmtId="0" fontId="45" fillId="33" borderId="45" xfId="47" applyFont="1" applyBorder="1" applyAlignment="1">
      <alignment horizontal="center" vertical="center"/>
      <protection/>
    </xf>
    <xf numFmtId="0" fontId="58" fillId="0" borderId="0" xfId="0" applyFont="1" applyFill="1" applyBorder="1" applyAlignment="1">
      <alignment horizontal="center" vertical="center"/>
    </xf>
    <xf numFmtId="0" fontId="3" fillId="39" borderId="0" xfId="0" applyFont="1" applyFill="1" applyBorder="1" applyAlignment="1">
      <alignment vertical="center" shrinkToFit="1"/>
    </xf>
    <xf numFmtId="0" fontId="45" fillId="33" borderId="20" xfId="47" applyFont="1" applyBorder="1" applyAlignment="1">
      <alignment horizontal="center" vertical="center" wrapText="1"/>
      <protection/>
    </xf>
    <xf numFmtId="0" fontId="45" fillId="33" borderId="68" xfId="47" applyFont="1" applyBorder="1" applyAlignment="1">
      <alignment horizontal="center" vertical="center" wrapText="1"/>
      <protection/>
    </xf>
    <xf numFmtId="0" fontId="45" fillId="33" borderId="12" xfId="47" applyFont="1" applyBorder="1" applyAlignment="1">
      <alignment horizontal="center" vertical="center"/>
      <protection/>
    </xf>
    <xf numFmtId="0" fontId="45" fillId="33" borderId="16" xfId="47" applyFont="1" applyBorder="1" applyAlignment="1">
      <alignment horizontal="center" vertical="center"/>
      <protection/>
    </xf>
    <xf numFmtId="0" fontId="0" fillId="0" borderId="0" xfId="0" applyAlignment="1">
      <alignment/>
    </xf>
    <xf numFmtId="0" fontId="0" fillId="0" borderId="5" xfId="0" applyBorder="1" applyAlignment="1">
      <alignment/>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42" borderId="12" xfId="0" applyFont="1" applyFill="1" applyBorder="1" applyAlignment="1">
      <alignment horizontal="center" vertical="center" wrapText="1"/>
    </xf>
    <xf numFmtId="0" fontId="8" fillId="42" borderId="4" xfId="0" applyFont="1" applyFill="1" applyBorder="1" applyAlignment="1">
      <alignment horizontal="center" vertical="center" wrapText="1"/>
    </xf>
    <xf numFmtId="0" fontId="8" fillId="42" borderId="13" xfId="0" applyFont="1" applyFill="1" applyBorder="1" applyAlignment="1">
      <alignment horizontal="center" vertical="center" wrapText="1"/>
    </xf>
    <xf numFmtId="0" fontId="8" fillId="42" borderId="16" xfId="0" applyFont="1" applyFill="1" applyBorder="1" applyAlignment="1">
      <alignment horizontal="center" vertical="center" wrapText="1"/>
    </xf>
    <xf numFmtId="0" fontId="8" fillId="42" borderId="17" xfId="0" applyFont="1" applyFill="1" applyBorder="1" applyAlignment="1">
      <alignment horizontal="center" vertical="center" wrapText="1"/>
    </xf>
    <xf numFmtId="0" fontId="8" fillId="42" borderId="18" xfId="0" applyFont="1" applyFill="1" applyBorder="1" applyAlignment="1">
      <alignment horizontal="center" vertical="center" wrapText="1"/>
    </xf>
    <xf numFmtId="0" fontId="0" fillId="0" borderId="17" xfId="0" applyBorder="1" applyAlignment="1">
      <alignment horizontal="center"/>
    </xf>
    <xf numFmtId="0" fontId="8" fillId="32" borderId="44" xfId="46" applyFont="1" applyBorder="1" applyAlignment="1">
      <alignment horizontal="center" vertical="center" wrapText="1"/>
      <protection/>
    </xf>
    <xf numFmtId="0" fontId="8" fillId="32" borderId="53" xfId="46" applyFont="1" applyBorder="1" applyAlignment="1">
      <alignment horizontal="center" vertical="center" wrapText="1"/>
      <protection/>
    </xf>
    <xf numFmtId="0" fontId="8" fillId="32" borderId="45" xfId="46" applyFont="1" applyBorder="1" applyAlignment="1">
      <alignment horizontal="center" vertical="center" wrapText="1"/>
      <protection/>
    </xf>
    <xf numFmtId="0" fontId="7" fillId="0" borderId="0" xfId="0" applyFont="1" applyAlignment="1">
      <alignment horizontal="center" vertical="center"/>
    </xf>
    <xf numFmtId="0" fontId="4" fillId="0" borderId="4" xfId="0" applyFont="1" applyBorder="1" applyAlignment="1">
      <alignment horizontal="center"/>
    </xf>
    <xf numFmtId="0" fontId="4" fillId="0" borderId="0" xfId="0" applyFont="1" applyAlignment="1">
      <alignment horizontal="center"/>
    </xf>
    <xf numFmtId="0" fontId="4" fillId="0" borderId="44" xfId="0" applyFont="1" applyBorder="1" applyAlignment="1">
      <alignment horizontal="center"/>
    </xf>
    <xf numFmtId="0" fontId="4" fillId="0" borderId="53" xfId="0" applyFont="1" applyBorder="1" applyAlignment="1">
      <alignment horizontal="center"/>
    </xf>
    <xf numFmtId="0" fontId="4" fillId="0" borderId="45" xfId="0" applyFont="1" applyBorder="1" applyAlignment="1">
      <alignment horizontal="center"/>
    </xf>
    <xf numFmtId="0" fontId="57" fillId="33" borderId="12" xfId="47" applyFont="1" applyBorder="1" applyAlignment="1">
      <alignment horizontal="center" vertical="center" wrapText="1"/>
      <protection/>
    </xf>
    <xf numFmtId="0" fontId="57" fillId="33" borderId="4" xfId="47" applyFont="1" applyBorder="1" applyAlignment="1">
      <alignment horizontal="center" vertical="center" wrapText="1"/>
      <protection/>
    </xf>
    <xf numFmtId="0" fontId="57" fillId="33" borderId="13" xfId="47" applyFont="1" applyBorder="1" applyAlignment="1">
      <alignment horizontal="center" vertical="center" wrapText="1"/>
      <protection/>
    </xf>
    <xf numFmtId="0" fontId="57" fillId="33" borderId="16" xfId="47" applyFont="1" applyBorder="1" applyAlignment="1">
      <alignment horizontal="center" vertical="center" wrapText="1"/>
      <protection/>
    </xf>
    <xf numFmtId="0" fontId="57" fillId="33" borderId="17" xfId="47" applyFont="1" applyBorder="1" applyAlignment="1">
      <alignment horizontal="center" vertical="center" wrapText="1"/>
      <protection/>
    </xf>
    <xf numFmtId="0" fontId="57" fillId="33" borderId="18" xfId="47" applyFont="1" applyBorder="1" applyAlignment="1">
      <alignment horizontal="center" vertical="center" wrapText="1"/>
      <protection/>
    </xf>
    <xf numFmtId="0" fontId="4" fillId="0" borderId="20" xfId="0" applyFont="1" applyBorder="1" applyAlignment="1">
      <alignment horizontal="center" vertical="center"/>
    </xf>
    <xf numFmtId="0" fontId="4" fillId="0" borderId="68"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44" fontId="7" fillId="0" borderId="20" xfId="0" applyNumberFormat="1" applyFont="1" applyBorder="1" applyAlignment="1">
      <alignment horizontal="right" vertical="center"/>
    </xf>
    <xf numFmtId="44" fontId="7" fillId="0" borderId="68" xfId="0" applyNumberFormat="1" applyFont="1" applyBorder="1" applyAlignment="1">
      <alignment horizontal="right" vertical="center"/>
    </xf>
    <xf numFmtId="1" fontId="7" fillId="0" borderId="20" xfId="0" applyNumberFormat="1" applyFont="1" applyBorder="1" applyAlignment="1">
      <alignment horizontal="center" vertical="center"/>
    </xf>
    <xf numFmtId="1" fontId="7" fillId="0" borderId="68" xfId="0" applyNumberFormat="1" applyFont="1" applyBorder="1" applyAlignment="1">
      <alignment horizontal="center" vertical="center"/>
    </xf>
    <xf numFmtId="0" fontId="0" fillId="0" borderId="12"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57" fillId="33" borderId="44" xfId="47" applyFont="1" applyBorder="1" applyAlignment="1">
      <alignment horizontal="center" vertical="center"/>
      <protection/>
    </xf>
    <xf numFmtId="0" fontId="57" fillId="33" borderId="53" xfId="47" applyFont="1" applyBorder="1" applyAlignment="1">
      <alignment horizontal="center" vertical="center"/>
      <protection/>
    </xf>
    <xf numFmtId="0" fontId="57" fillId="33" borderId="45" xfId="47" applyFont="1" applyBorder="1" applyAlignment="1">
      <alignment horizontal="center" vertical="center"/>
      <protection/>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44" fontId="4" fillId="0" borderId="20" xfId="0" applyNumberFormat="1" applyFont="1" applyBorder="1" applyAlignment="1">
      <alignment horizontal="right" vertical="center"/>
    </xf>
    <xf numFmtId="44" fontId="4" fillId="0" borderId="68" xfId="0" applyNumberFormat="1" applyFont="1" applyBorder="1" applyAlignment="1">
      <alignment horizontal="right" vertical="center"/>
    </xf>
    <xf numFmtId="0" fontId="1" fillId="0" borderId="5" xfId="0" applyFont="1" applyBorder="1" applyAlignment="1">
      <alignment horizontal="center" vertical="center"/>
    </xf>
    <xf numFmtId="0" fontId="5" fillId="0" borderId="5" xfId="0" applyFont="1" applyBorder="1" applyAlignment="1">
      <alignment horizontal="center" wrapText="1"/>
    </xf>
    <xf numFmtId="0" fontId="5" fillId="0" borderId="5" xfId="0" applyFont="1" applyBorder="1" applyAlignment="1">
      <alignment horizontal="center"/>
    </xf>
    <xf numFmtId="0" fontId="0" fillId="0" borderId="0" xfId="0"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4" fontId="4" fillId="0" borderId="16" xfId="0" applyNumberFormat="1" applyFont="1" applyBorder="1" applyAlignment="1">
      <alignment horizontal="center" vertical="center" wrapText="1"/>
    </xf>
    <xf numFmtId="44" fontId="4" fillId="0" borderId="18"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6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Estilo 2" xfId="45"/>
    <cellStyle name="Estilo 3" xfId="46"/>
    <cellStyle name="Estilo 4" xfId="47"/>
    <cellStyle name="Estilo 5" xfId="48"/>
    <cellStyle name="Estilo 6" xfId="49"/>
    <cellStyle name="Currency" xfId="50"/>
    <cellStyle name="Currency [0]" xfId="51"/>
    <cellStyle name="Neutro" xfId="52"/>
    <cellStyle name="Normal 2" xfId="53"/>
    <cellStyle name="Normal 2 159" xfId="54"/>
    <cellStyle name="Normal 2 17" xfId="55"/>
    <cellStyle name="Normal 2 2 2" xfId="56"/>
    <cellStyle name="Normal 2 21" xfId="57"/>
    <cellStyle name="Normal 2 22" xfId="58"/>
    <cellStyle name="Normal 2 30" xfId="59"/>
    <cellStyle name="Normal 2 84" xfId="60"/>
    <cellStyle name="Normal 2 85" xfId="61"/>
    <cellStyle name="Normal 2 90" xfId="62"/>
    <cellStyle name="Normal 2 91" xfId="63"/>
    <cellStyle name="Normal 3" xfId="64"/>
    <cellStyle name="Nota" xfId="65"/>
    <cellStyle name="Percent" xfId="66"/>
    <cellStyle name="Ruim" xfId="67"/>
    <cellStyle name="Saída" xfId="68"/>
    <cellStyle name="Comma [0]" xfId="69"/>
    <cellStyle name="Separador de milhares 30" xfId="70"/>
    <cellStyle name="Separador de milhares 31" xfId="71"/>
    <cellStyle name="Texto de Aviso" xfId="72"/>
    <cellStyle name="Texto Explicativo" xfId="73"/>
    <cellStyle name="Título" xfId="74"/>
    <cellStyle name="Título 1" xfId="75"/>
    <cellStyle name="Título 2" xfId="76"/>
    <cellStyle name="Título 3" xfId="77"/>
    <cellStyle name="Título 4" xfId="78"/>
    <cellStyle name="Total" xfId="79"/>
    <cellStyle name="Comma" xfId="80"/>
  </cellStyles>
  <dxfs count="13">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color indexed="17"/>
      </font>
    </dxf>
    <dxf>
      <font>
        <color indexed="10"/>
      </font>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133350</xdr:rowOff>
    </xdr:from>
    <xdr:to>
      <xdr:col>2</xdr:col>
      <xdr:colOff>219075</xdr:colOff>
      <xdr:row>5</xdr:row>
      <xdr:rowOff>19050</xdr:rowOff>
    </xdr:to>
    <xdr:pic>
      <xdr:nvPicPr>
        <xdr:cNvPr id="1" name="Imagem 2" descr="logo.png"/>
        <xdr:cNvPicPr preferRelativeResize="1">
          <a:picLocks noChangeAspect="1"/>
        </xdr:cNvPicPr>
      </xdr:nvPicPr>
      <xdr:blipFill>
        <a:blip r:embed="rId1"/>
        <a:srcRect r="65171"/>
        <a:stretch>
          <a:fillRect/>
        </a:stretch>
      </xdr:blipFill>
      <xdr:spPr>
        <a:xfrm>
          <a:off x="266700" y="133350"/>
          <a:ext cx="10668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114300</xdr:rowOff>
    </xdr:from>
    <xdr:to>
      <xdr:col>2</xdr:col>
      <xdr:colOff>114300</xdr:colOff>
      <xdr:row>5</xdr:row>
      <xdr:rowOff>0</xdr:rowOff>
    </xdr:to>
    <xdr:pic>
      <xdr:nvPicPr>
        <xdr:cNvPr id="1" name="Imagem 2" descr="logo.png"/>
        <xdr:cNvPicPr preferRelativeResize="1">
          <a:picLocks noChangeAspect="1"/>
        </xdr:cNvPicPr>
      </xdr:nvPicPr>
      <xdr:blipFill>
        <a:blip r:embed="rId1"/>
        <a:srcRect r="65171"/>
        <a:stretch>
          <a:fillRect/>
        </a:stretch>
      </xdr:blipFill>
      <xdr:spPr>
        <a:xfrm>
          <a:off x="314325" y="114300"/>
          <a:ext cx="10668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2</xdr:col>
      <xdr:colOff>200025</xdr:colOff>
      <xdr:row>5</xdr:row>
      <xdr:rowOff>114300</xdr:rowOff>
    </xdr:to>
    <xdr:pic>
      <xdr:nvPicPr>
        <xdr:cNvPr id="1" name="Imagem 2" descr="logo.png"/>
        <xdr:cNvPicPr preferRelativeResize="1">
          <a:picLocks noChangeAspect="1"/>
        </xdr:cNvPicPr>
      </xdr:nvPicPr>
      <xdr:blipFill>
        <a:blip r:embed="rId1"/>
        <a:srcRect r="65171"/>
        <a:stretch>
          <a:fillRect/>
        </a:stretch>
      </xdr:blipFill>
      <xdr:spPr>
        <a:xfrm>
          <a:off x="219075" y="0"/>
          <a:ext cx="9715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4"/>
  <sheetViews>
    <sheetView view="pageBreakPreview" zoomScaleSheetLayoutView="100" workbookViewId="0" topLeftCell="A14">
      <selection activeCell="K25" sqref="K25"/>
    </sheetView>
  </sheetViews>
  <sheetFormatPr defaultColWidth="9.140625" defaultRowHeight="12.75"/>
  <cols>
    <col min="1" max="1" width="32.7109375" style="0" customWidth="1"/>
    <col min="2" max="2" width="10.7109375" style="0" customWidth="1"/>
    <col min="3" max="4" width="15.7109375" style="0" customWidth="1"/>
  </cols>
  <sheetData>
    <row r="1" spans="1:7" ht="12.75">
      <c r="A1" s="64"/>
      <c r="B1" s="65"/>
      <c r="C1" s="65"/>
      <c r="D1" s="65"/>
      <c r="E1" s="65"/>
      <c r="F1" s="65"/>
      <c r="G1" s="66"/>
    </row>
    <row r="2" spans="1:8" ht="19.5">
      <c r="A2" s="171" t="s">
        <v>30</v>
      </c>
      <c r="B2" s="172"/>
      <c r="C2" s="172"/>
      <c r="D2" s="172"/>
      <c r="E2" s="172"/>
      <c r="F2" s="172"/>
      <c r="G2" s="173"/>
      <c r="H2" s="67"/>
    </row>
    <row r="3" spans="1:7" ht="13.5" thickBot="1">
      <c r="A3" s="68"/>
      <c r="B3" s="69"/>
      <c r="C3" s="69"/>
      <c r="D3" s="69"/>
      <c r="E3" s="69"/>
      <c r="F3" s="69"/>
      <c r="G3" s="70"/>
    </row>
    <row r="4" spans="1:7" ht="12.75">
      <c r="A4" s="71" t="s">
        <v>31</v>
      </c>
      <c r="B4" s="174" t="s">
        <v>94</v>
      </c>
      <c r="C4" s="175"/>
      <c r="D4" s="175"/>
      <c r="E4" s="175"/>
      <c r="F4" s="175"/>
      <c r="G4" s="176"/>
    </row>
    <row r="5" spans="1:7" ht="12.75">
      <c r="A5" s="194" t="s">
        <v>32</v>
      </c>
      <c r="B5" s="188" t="s">
        <v>205</v>
      </c>
      <c r="C5" s="189"/>
      <c r="D5" s="189"/>
      <c r="E5" s="189"/>
      <c r="F5" s="189"/>
      <c r="G5" s="190"/>
    </row>
    <row r="6" spans="1:7" ht="13.5" thickBot="1">
      <c r="A6" s="195"/>
      <c r="B6" s="191"/>
      <c r="C6" s="192"/>
      <c r="D6" s="192"/>
      <c r="E6" s="192"/>
      <c r="F6" s="192"/>
      <c r="G6" s="193"/>
    </row>
    <row r="7" spans="1:7" ht="13.5" thickBot="1">
      <c r="A7" s="68"/>
      <c r="B7" s="69"/>
      <c r="C7" s="69"/>
      <c r="D7" s="69"/>
      <c r="E7" s="69"/>
      <c r="F7" s="69"/>
      <c r="G7" s="70"/>
    </row>
    <row r="8" spans="1:7" ht="12.75">
      <c r="A8" s="177" t="s">
        <v>33</v>
      </c>
      <c r="B8" s="178"/>
      <c r="C8" s="178"/>
      <c r="D8" s="178"/>
      <c r="E8" s="178"/>
      <c r="F8" s="178"/>
      <c r="G8" s="179"/>
    </row>
    <row r="9" spans="1:7" ht="13.5" thickBot="1">
      <c r="A9" s="180" t="s">
        <v>69</v>
      </c>
      <c r="B9" s="181"/>
      <c r="C9" s="181"/>
      <c r="D9" s="181"/>
      <c r="E9" s="181"/>
      <c r="F9" s="181"/>
      <c r="G9" s="182"/>
    </row>
    <row r="10" spans="1:7" ht="13.5" thickBot="1">
      <c r="A10" s="68"/>
      <c r="B10" s="69"/>
      <c r="C10" s="69"/>
      <c r="D10" s="69"/>
      <c r="E10" s="69"/>
      <c r="F10" s="69"/>
      <c r="G10" s="70"/>
    </row>
    <row r="11" spans="1:7" ht="24.75" customHeight="1">
      <c r="A11" s="183" t="s">
        <v>35</v>
      </c>
      <c r="B11" s="184"/>
      <c r="C11" s="184"/>
      <c r="D11" s="184"/>
      <c r="E11" s="185"/>
      <c r="F11" s="186">
        <v>0.5</v>
      </c>
      <c r="G11" s="187"/>
    </row>
    <row r="12" spans="1:7" ht="13.5" thickBot="1">
      <c r="A12" s="158" t="s">
        <v>36</v>
      </c>
      <c r="B12" s="159"/>
      <c r="C12" s="159"/>
      <c r="D12" s="159"/>
      <c r="E12" s="159"/>
      <c r="F12" s="160">
        <v>0.04</v>
      </c>
      <c r="G12" s="161"/>
    </row>
    <row r="13" spans="1:7" ht="12.75">
      <c r="A13" s="68"/>
      <c r="B13" s="69"/>
      <c r="C13" s="69"/>
      <c r="D13" s="69"/>
      <c r="E13" s="69"/>
      <c r="F13" s="69"/>
      <c r="G13" s="70"/>
    </row>
    <row r="14" spans="1:7" ht="13.5" thickBot="1">
      <c r="A14" s="68"/>
      <c r="B14" s="69"/>
      <c r="C14" s="69"/>
      <c r="D14" s="69"/>
      <c r="E14" s="69"/>
      <c r="F14" s="69"/>
      <c r="G14" s="70"/>
    </row>
    <row r="15" spans="1:7" ht="38.25">
      <c r="A15" s="72" t="s">
        <v>37</v>
      </c>
      <c r="B15" s="73" t="s">
        <v>38</v>
      </c>
      <c r="C15" s="74" t="s">
        <v>39</v>
      </c>
      <c r="D15" s="74" t="s">
        <v>40</v>
      </c>
      <c r="E15" s="75" t="s">
        <v>41</v>
      </c>
      <c r="F15" s="75" t="s">
        <v>42</v>
      </c>
      <c r="G15" s="76" t="s">
        <v>43</v>
      </c>
    </row>
    <row r="16" spans="1:9" ht="12.75">
      <c r="A16" s="77" t="s">
        <v>44</v>
      </c>
      <c r="B16" s="78" t="s">
        <v>45</v>
      </c>
      <c r="C16" s="79">
        <v>0.0467</v>
      </c>
      <c r="D16" s="80" t="s">
        <v>46</v>
      </c>
      <c r="E16" s="81">
        <f>VLOOKUP(CONCATENATE($A$9,"-",$B16),$C$32:$G$73,3,FALSE)</f>
        <v>0.038</v>
      </c>
      <c r="F16" s="81">
        <f>VLOOKUP(CONCATENATE($A$9,"-",$B16),$C$32:$G$73,4,FALSE)</f>
        <v>0.0401</v>
      </c>
      <c r="G16" s="82">
        <f>VLOOKUP(CONCATENATE($A$9,"-",$B16),$C$32:$G$73,5,FALSE)</f>
        <v>0.0467</v>
      </c>
      <c r="I16" s="83"/>
    </row>
    <row r="17" spans="1:7" ht="12.75">
      <c r="A17" s="77" t="s">
        <v>47</v>
      </c>
      <c r="B17" s="78" t="s">
        <v>48</v>
      </c>
      <c r="C17" s="79">
        <v>0.0074</v>
      </c>
      <c r="D17" s="80" t="s">
        <v>46</v>
      </c>
      <c r="E17" s="81">
        <f>VLOOKUP(CONCATENATE($A$9,"-",$B17),$C$32:$G$73,3,FALSE)</f>
        <v>0.0032</v>
      </c>
      <c r="F17" s="81">
        <f>VLOOKUP(CONCATENATE($A$9,"-",$B17),$C$32:$G$73,4,FALSE)</f>
        <v>0.004</v>
      </c>
      <c r="G17" s="82">
        <f>VLOOKUP(CONCATENATE($A$9,"-",$B17),$C$32:$G$73,5,FALSE)</f>
        <v>0.0074</v>
      </c>
    </row>
    <row r="18" spans="1:7" ht="12.75">
      <c r="A18" s="77" t="s">
        <v>49</v>
      </c>
      <c r="B18" s="78" t="s">
        <v>50</v>
      </c>
      <c r="C18" s="79">
        <v>0.0097</v>
      </c>
      <c r="D18" s="80" t="s">
        <v>46</v>
      </c>
      <c r="E18" s="81">
        <f>VLOOKUP(CONCATENATE($A$9,"-",$B18),$C$32:$G$73,3,FALSE)</f>
        <v>0.005</v>
      </c>
      <c r="F18" s="81">
        <f>VLOOKUP(CONCATENATE($A$9,"-",$B18),$C$32:$G$73,4,FALSE)</f>
        <v>0.0056</v>
      </c>
      <c r="G18" s="82">
        <f>VLOOKUP(CONCATENATE($A$9,"-",$B18),$C$32:$G$73,5,FALSE)</f>
        <v>0.0097</v>
      </c>
    </row>
    <row r="19" spans="1:7" ht="12.75">
      <c r="A19" s="77" t="s">
        <v>51</v>
      </c>
      <c r="B19" s="78" t="s">
        <v>52</v>
      </c>
      <c r="C19" s="79">
        <v>0.0121</v>
      </c>
      <c r="D19" s="80" t="s">
        <v>46</v>
      </c>
      <c r="E19" s="81">
        <f>VLOOKUP(CONCATENATE($A$9,"-",$B19),$C$32:$G$73,3,FALSE)</f>
        <v>0.0102</v>
      </c>
      <c r="F19" s="81">
        <f>VLOOKUP(CONCATENATE($A$9,"-",$B19),$C$32:$G$73,4,FALSE)</f>
        <v>0.0111</v>
      </c>
      <c r="G19" s="82">
        <f>VLOOKUP(CONCATENATE($A$9,"-",$B19),$C$32:$G$73,5,FALSE)</f>
        <v>0.0121</v>
      </c>
    </row>
    <row r="20" spans="1:7" ht="12.75">
      <c r="A20" s="77" t="s">
        <v>53</v>
      </c>
      <c r="B20" s="78" t="s">
        <v>54</v>
      </c>
      <c r="C20" s="79">
        <v>0.0869</v>
      </c>
      <c r="D20" s="80" t="s">
        <v>46</v>
      </c>
      <c r="E20" s="81">
        <f>VLOOKUP(CONCATENATE($A$9,"-",$B20),$C$32:$G$73,3,FALSE)</f>
        <v>0.0664</v>
      </c>
      <c r="F20" s="81">
        <f>VLOOKUP(CONCATENATE($A$9,"-",$B20),$C$32:$G$73,4,FALSE)</f>
        <v>0.073</v>
      </c>
      <c r="G20" s="82">
        <f>VLOOKUP(CONCATENATE($A$9,"-",$B20),$C$32:$G$73,5,FALSE)</f>
        <v>0.0869</v>
      </c>
    </row>
    <row r="21" spans="1:7" ht="30" customHeight="1">
      <c r="A21" s="84" t="s">
        <v>55</v>
      </c>
      <c r="B21" s="78" t="s">
        <v>56</v>
      </c>
      <c r="C21" s="79">
        <v>0.0365</v>
      </c>
      <c r="D21" s="80" t="str">
        <f>IF(AND(C21&gt;=E21,C21&lt;=G21),"OK","Não OK")</f>
        <v>OK</v>
      </c>
      <c r="E21" s="85">
        <v>0.0365</v>
      </c>
      <c r="F21" s="85">
        <v>0.0365</v>
      </c>
      <c r="G21" s="86">
        <v>0.0365</v>
      </c>
    </row>
    <row r="22" spans="1:7" ht="30" customHeight="1">
      <c r="A22" s="84" t="s">
        <v>57</v>
      </c>
      <c r="B22" s="78" t="s">
        <v>58</v>
      </c>
      <c r="C22" s="87">
        <f>F12*F11</f>
        <v>0.02</v>
      </c>
      <c r="D22" s="80" t="str">
        <f>IF(AND(C22&gt;=E22,C22&lt;=G22),"OK","Não OK")</f>
        <v>OK</v>
      </c>
      <c r="E22" s="85">
        <v>0</v>
      </c>
      <c r="F22" s="85">
        <v>0.025</v>
      </c>
      <c r="G22" s="86">
        <v>0.05</v>
      </c>
    </row>
    <row r="23" spans="1:7" ht="38.25">
      <c r="A23" s="88" t="s">
        <v>59</v>
      </c>
      <c r="B23" s="78" t="s">
        <v>60</v>
      </c>
      <c r="C23" s="79">
        <v>0.045</v>
      </c>
      <c r="D23" s="80" t="str">
        <f>IF(AND(C23&gt;=E23,C23&lt;=G23),"OK","Não OK")</f>
        <v>OK</v>
      </c>
      <c r="E23" s="89">
        <v>0</v>
      </c>
      <c r="F23" s="89">
        <v>0.02</v>
      </c>
      <c r="G23" s="90">
        <v>0.045</v>
      </c>
    </row>
    <row r="24" spans="1:7" ht="30" customHeight="1" thickBot="1">
      <c r="A24" s="91" t="s">
        <v>61</v>
      </c>
      <c r="B24" s="92" t="s">
        <v>62</v>
      </c>
      <c r="C24" s="81">
        <f>ROUND((((1+C16+C17+C18)*(1+C19)*(1+C20)/(1-(C21+C22)))-1),4)</f>
        <v>0.2403</v>
      </c>
      <c r="D24" s="93" t="str">
        <f>IF(AND(C24&gt;=E24,C24&lt;=G24),"OK","Não OK")</f>
        <v>OK</v>
      </c>
      <c r="E24" s="81">
        <f>VLOOKUP(CONCATENATE($A$9,"-",$B24),$C$32:$G$73,3,FALSE)</f>
        <v>0.196</v>
      </c>
      <c r="F24" s="81">
        <f>VLOOKUP(CONCATENATE($A$9,"-",$B24),$C$32:$G$73,4,FALSE)</f>
        <v>0.2097</v>
      </c>
      <c r="G24" s="82">
        <f>VLOOKUP(CONCATENATE($A$9,"-",$B24),$C$32:$G$73,5,FALSE)</f>
        <v>0.2423</v>
      </c>
    </row>
    <row r="25" spans="1:7" ht="39.75" customHeight="1" thickBot="1">
      <c r="A25" s="94" t="s">
        <v>63</v>
      </c>
      <c r="B25" s="95" t="s">
        <v>64</v>
      </c>
      <c r="C25" s="96">
        <f>ROUND((((1+C16+C17+C18)*(1+C19)*(1+C20)/(1-(C21+C22+C23)))-1),4)</f>
        <v>0.3024</v>
      </c>
      <c r="D25" s="97" t="str">
        <f>IF(COUNTIF($D$16:$D$24,"NÃO OK")&gt;0,"NÃO OK","OK")</f>
        <v>OK</v>
      </c>
      <c r="E25" s="98"/>
      <c r="F25" s="98"/>
      <c r="G25" s="99"/>
    </row>
    <row r="26" spans="1:7" ht="12.75">
      <c r="A26" s="68"/>
      <c r="B26" s="69"/>
      <c r="C26" s="69"/>
      <c r="D26" s="69"/>
      <c r="E26" s="69"/>
      <c r="F26" s="69"/>
      <c r="G26" s="70"/>
    </row>
    <row r="27" spans="1:7" ht="57.75" customHeight="1">
      <c r="A27" s="162" t="s">
        <v>65</v>
      </c>
      <c r="B27" s="163"/>
      <c r="C27" s="163"/>
      <c r="D27" s="163"/>
      <c r="E27" s="163"/>
      <c r="F27" s="163"/>
      <c r="G27" s="164"/>
    </row>
    <row r="28" spans="1:7" ht="19.5" customHeight="1">
      <c r="A28" s="100"/>
      <c r="B28" s="101"/>
      <c r="C28" s="101"/>
      <c r="D28" s="101"/>
      <c r="E28" s="101"/>
      <c r="F28" s="101"/>
      <c r="G28" s="102"/>
    </row>
    <row r="29" spans="1:7" ht="49.5" customHeight="1">
      <c r="A29" s="165" t="str">
        <f>CONCATENATE("Declaro para os devidos fins que, conforme legislação tributária municipal, a base de cálculo para ",A9,", é de ",F11*100,"%, com a respectiva alíquota de ",F12*100,"%.")</f>
        <v>Declaro para os devidos fins que, conforme legislação tributária municipal, a base de cálculo para Construção de Praças Urbanas, Rodovias, Ferrovias e recapeamento e pavimentação de vias urbanas, é de 50%, com a respectiva alíquota de 4%.</v>
      </c>
      <c r="B29" s="166"/>
      <c r="C29" s="166"/>
      <c r="D29" s="166"/>
      <c r="E29" s="166"/>
      <c r="F29" s="166"/>
      <c r="G29" s="167"/>
    </row>
    <row r="30" spans="1:7" ht="12.75">
      <c r="A30" s="68"/>
      <c r="B30" s="69"/>
      <c r="C30" s="69"/>
      <c r="D30" s="69"/>
      <c r="E30" s="69"/>
      <c r="F30" s="69"/>
      <c r="G30" s="70"/>
    </row>
    <row r="31" spans="1:7" ht="12.75" hidden="1">
      <c r="A31" s="68"/>
      <c r="B31" s="69"/>
      <c r="C31" s="69"/>
      <c r="D31" s="69"/>
      <c r="E31" s="103" t="s">
        <v>66</v>
      </c>
      <c r="F31" s="103" t="s">
        <v>67</v>
      </c>
      <c r="G31" s="104" t="s">
        <v>68</v>
      </c>
    </row>
    <row r="32" spans="1:7" ht="12.75" hidden="1">
      <c r="A32" s="68" t="s">
        <v>34</v>
      </c>
      <c r="B32" s="105" t="s">
        <v>45</v>
      </c>
      <c r="C32" s="69" t="str">
        <f>CONCATENATE(A32,"-",B32)</f>
        <v>Construção e Reforma de Edifícios-AC</v>
      </c>
      <c r="D32" s="69"/>
      <c r="E32" s="106">
        <v>0.03</v>
      </c>
      <c r="F32" s="106">
        <v>0.04</v>
      </c>
      <c r="G32" s="107">
        <v>0.055</v>
      </c>
    </row>
    <row r="33" spans="1:7" ht="12.75" hidden="1">
      <c r="A33" s="68" t="str">
        <f>A32</f>
        <v>Construção e Reforma de Edifícios</v>
      </c>
      <c r="B33" s="105" t="s">
        <v>48</v>
      </c>
      <c r="C33" s="69" t="str">
        <f aca="true" t="shared" si="0" ref="C33:C73">CONCATENATE(A33,"-",B33)</f>
        <v>Construção e Reforma de Edifícios-SG</v>
      </c>
      <c r="D33" s="69"/>
      <c r="E33" s="106">
        <v>0.008</v>
      </c>
      <c r="F33" s="106">
        <v>0.008</v>
      </c>
      <c r="G33" s="107">
        <v>0.01</v>
      </c>
    </row>
    <row r="34" spans="1:7" ht="12.75" hidden="1">
      <c r="A34" s="68" t="str">
        <f aca="true" t="shared" si="1" ref="A34:A66">A33</f>
        <v>Construção e Reforma de Edifícios</v>
      </c>
      <c r="B34" s="105" t="s">
        <v>50</v>
      </c>
      <c r="C34" s="69" t="str">
        <f t="shared" si="0"/>
        <v>Construção e Reforma de Edifícios-R</v>
      </c>
      <c r="D34" s="69"/>
      <c r="E34" s="106">
        <v>0.0097</v>
      </c>
      <c r="F34" s="106">
        <v>0.0127</v>
      </c>
      <c r="G34" s="107">
        <v>0.0127</v>
      </c>
    </row>
    <row r="35" spans="1:7" ht="12.75" hidden="1">
      <c r="A35" s="68" t="str">
        <f t="shared" si="1"/>
        <v>Construção e Reforma de Edifícios</v>
      </c>
      <c r="B35" s="105" t="s">
        <v>52</v>
      </c>
      <c r="C35" s="69" t="str">
        <f t="shared" si="0"/>
        <v>Construção e Reforma de Edifícios-DF</v>
      </c>
      <c r="D35" s="69"/>
      <c r="E35" s="106">
        <v>0.0059</v>
      </c>
      <c r="F35" s="106">
        <v>0.0123</v>
      </c>
      <c r="G35" s="107">
        <v>0.0139</v>
      </c>
    </row>
    <row r="36" spans="1:7" ht="12.75" hidden="1">
      <c r="A36" s="68" t="str">
        <f t="shared" si="1"/>
        <v>Construção e Reforma de Edifícios</v>
      </c>
      <c r="B36" s="105" t="s">
        <v>54</v>
      </c>
      <c r="C36" s="69" t="str">
        <f t="shared" si="0"/>
        <v>Construção e Reforma de Edifícios-L</v>
      </c>
      <c r="D36" s="69"/>
      <c r="E36" s="106">
        <v>0.0616</v>
      </c>
      <c r="F36" s="106">
        <v>0.074</v>
      </c>
      <c r="G36" s="107">
        <v>0.0896</v>
      </c>
    </row>
    <row r="37" spans="1:7" ht="12.75" hidden="1">
      <c r="A37" s="68" t="str">
        <f>A36</f>
        <v>Construção e Reforma de Edifícios</v>
      </c>
      <c r="B37" s="108" t="s">
        <v>62</v>
      </c>
      <c r="C37" s="69" t="str">
        <f t="shared" si="0"/>
        <v>Construção e Reforma de Edifícios-BDI PAD</v>
      </c>
      <c r="D37" s="69"/>
      <c r="E37" s="106">
        <v>0.2034</v>
      </c>
      <c r="F37" s="106">
        <v>0.2212</v>
      </c>
      <c r="G37" s="107">
        <v>0.25</v>
      </c>
    </row>
    <row r="38" spans="1:7" ht="12.75" hidden="1">
      <c r="A38" s="68" t="s">
        <v>69</v>
      </c>
      <c r="B38" s="105" t="s">
        <v>45</v>
      </c>
      <c r="C38" s="69" t="str">
        <f t="shared" si="0"/>
        <v>Construção de Praças Urbanas, Rodovias, Ferrovias e recapeamento e pavimentação de vias urbanas-AC</v>
      </c>
      <c r="D38" s="69"/>
      <c r="E38" s="106">
        <v>0.038</v>
      </c>
      <c r="F38" s="106">
        <v>0.0401</v>
      </c>
      <c r="G38" s="107">
        <v>0.0467</v>
      </c>
    </row>
    <row r="39" spans="1:7" ht="12.75" hidden="1">
      <c r="A39" s="68" t="s">
        <v>69</v>
      </c>
      <c r="B39" s="105" t="s">
        <v>48</v>
      </c>
      <c r="C39" s="69" t="str">
        <f t="shared" si="0"/>
        <v>Construção de Praças Urbanas, Rodovias, Ferrovias e recapeamento e pavimentação de vias urbanas-SG</v>
      </c>
      <c r="D39" s="69"/>
      <c r="E39" s="106">
        <v>0.0032</v>
      </c>
      <c r="F39" s="106">
        <v>0.004</v>
      </c>
      <c r="G39" s="107">
        <v>0.0074</v>
      </c>
    </row>
    <row r="40" spans="1:7" ht="12.75" hidden="1">
      <c r="A40" s="68" t="s">
        <v>69</v>
      </c>
      <c r="B40" s="105" t="s">
        <v>50</v>
      </c>
      <c r="C40" s="69" t="str">
        <f t="shared" si="0"/>
        <v>Construção de Praças Urbanas, Rodovias, Ferrovias e recapeamento e pavimentação de vias urbanas-R</v>
      </c>
      <c r="D40" s="69"/>
      <c r="E40" s="106">
        <v>0.005</v>
      </c>
      <c r="F40" s="106">
        <v>0.0056</v>
      </c>
      <c r="G40" s="107">
        <v>0.0097</v>
      </c>
    </row>
    <row r="41" spans="1:7" ht="12.75" hidden="1">
      <c r="A41" s="68" t="s">
        <v>69</v>
      </c>
      <c r="B41" s="105" t="s">
        <v>52</v>
      </c>
      <c r="C41" s="69" t="str">
        <f t="shared" si="0"/>
        <v>Construção de Praças Urbanas, Rodovias, Ferrovias e recapeamento e pavimentação de vias urbanas-DF</v>
      </c>
      <c r="D41" s="69"/>
      <c r="E41" s="106">
        <v>0.0102</v>
      </c>
      <c r="F41" s="106">
        <v>0.0111</v>
      </c>
      <c r="G41" s="107">
        <v>0.0121</v>
      </c>
    </row>
    <row r="42" spans="1:7" ht="12.75" hidden="1">
      <c r="A42" s="68" t="s">
        <v>69</v>
      </c>
      <c r="B42" s="105" t="s">
        <v>54</v>
      </c>
      <c r="C42" s="69" t="str">
        <f t="shared" si="0"/>
        <v>Construção de Praças Urbanas, Rodovias, Ferrovias e recapeamento e pavimentação de vias urbanas-L</v>
      </c>
      <c r="D42" s="69"/>
      <c r="E42" s="106">
        <v>0.0664</v>
      </c>
      <c r="F42" s="106">
        <v>0.073</v>
      </c>
      <c r="G42" s="107">
        <v>0.0869</v>
      </c>
    </row>
    <row r="43" spans="1:7" ht="12.75" hidden="1">
      <c r="A43" s="68" t="s">
        <v>69</v>
      </c>
      <c r="B43" s="108" t="s">
        <v>62</v>
      </c>
      <c r="C43" s="69" t="str">
        <f t="shared" si="0"/>
        <v>Construção de Praças Urbanas, Rodovias, Ferrovias e recapeamento e pavimentação de vias urbanas-BDI PAD</v>
      </c>
      <c r="D43" s="69"/>
      <c r="E43" s="106">
        <v>0.196</v>
      </c>
      <c r="F43" s="106">
        <v>0.2097</v>
      </c>
      <c r="G43" s="107">
        <v>0.2423</v>
      </c>
    </row>
    <row r="44" spans="1:7" ht="12.75" hidden="1">
      <c r="A44" s="68" t="s">
        <v>70</v>
      </c>
      <c r="B44" s="105" t="s">
        <v>45</v>
      </c>
      <c r="C44" s="69" t="str">
        <f t="shared" si="0"/>
        <v>Construção de Redes de Abastecimento de Água, Coleta de Esgoto-AC</v>
      </c>
      <c r="D44" s="69"/>
      <c r="E44" s="106">
        <v>0.0343</v>
      </c>
      <c r="F44" s="106">
        <v>0.0493</v>
      </c>
      <c r="G44" s="107">
        <v>0.0671</v>
      </c>
    </row>
    <row r="45" spans="1:7" ht="12.75" hidden="1">
      <c r="A45" s="68" t="str">
        <f t="shared" si="1"/>
        <v>Construção de Redes de Abastecimento de Água, Coleta de Esgoto</v>
      </c>
      <c r="B45" s="105" t="s">
        <v>48</v>
      </c>
      <c r="C45" s="69" t="str">
        <f t="shared" si="0"/>
        <v>Construção de Redes de Abastecimento de Água, Coleta de Esgoto-SG</v>
      </c>
      <c r="D45" s="69"/>
      <c r="E45" s="106">
        <v>0.0028</v>
      </c>
      <c r="F45" s="106">
        <v>0.0049</v>
      </c>
      <c r="G45" s="107">
        <v>0.0075</v>
      </c>
    </row>
    <row r="46" spans="1:7" ht="12.75" hidden="1">
      <c r="A46" s="68" t="str">
        <f t="shared" si="1"/>
        <v>Construção de Redes de Abastecimento de Água, Coleta de Esgoto</v>
      </c>
      <c r="B46" s="105" t="s">
        <v>50</v>
      </c>
      <c r="C46" s="69" t="str">
        <f t="shared" si="0"/>
        <v>Construção de Redes de Abastecimento de Água, Coleta de Esgoto-R</v>
      </c>
      <c r="D46" s="69"/>
      <c r="E46" s="106">
        <v>0.01</v>
      </c>
      <c r="F46" s="106">
        <v>0.0139</v>
      </c>
      <c r="G46" s="107">
        <v>0.0174</v>
      </c>
    </row>
    <row r="47" spans="1:7" ht="12.75" hidden="1">
      <c r="A47" s="68" t="str">
        <f t="shared" si="1"/>
        <v>Construção de Redes de Abastecimento de Água, Coleta de Esgoto</v>
      </c>
      <c r="B47" s="105" t="s">
        <v>52</v>
      </c>
      <c r="C47" s="69" t="str">
        <f t="shared" si="0"/>
        <v>Construção de Redes de Abastecimento de Água, Coleta de Esgoto-DF</v>
      </c>
      <c r="D47" s="69"/>
      <c r="E47" s="106">
        <v>0.0094</v>
      </c>
      <c r="F47" s="106">
        <v>0.0099</v>
      </c>
      <c r="G47" s="107">
        <v>0.0117</v>
      </c>
    </row>
    <row r="48" spans="1:7" ht="12.75" hidden="1">
      <c r="A48" s="68" t="str">
        <f t="shared" si="1"/>
        <v>Construção de Redes de Abastecimento de Água, Coleta de Esgoto</v>
      </c>
      <c r="B48" s="105" t="s">
        <v>54</v>
      </c>
      <c r="C48" s="69" t="str">
        <f t="shared" si="0"/>
        <v>Construção de Redes de Abastecimento de Água, Coleta de Esgoto-L</v>
      </c>
      <c r="D48" s="69"/>
      <c r="E48" s="106">
        <v>0.0674</v>
      </c>
      <c r="F48" s="106">
        <v>0.0804</v>
      </c>
      <c r="G48" s="107">
        <v>0.094</v>
      </c>
    </row>
    <row r="49" spans="1:7" ht="12.75" hidden="1">
      <c r="A49" s="68" t="str">
        <f>A48</f>
        <v>Construção de Redes de Abastecimento de Água, Coleta de Esgoto</v>
      </c>
      <c r="B49" s="108" t="s">
        <v>62</v>
      </c>
      <c r="C49" s="69" t="str">
        <f t="shared" si="0"/>
        <v>Construção de Redes de Abastecimento de Água, Coleta de Esgoto-BDI PAD</v>
      </c>
      <c r="D49" s="69"/>
      <c r="E49" s="106">
        <v>0.2076</v>
      </c>
      <c r="F49" s="106">
        <v>0.2418</v>
      </c>
      <c r="G49" s="107">
        <v>0.2644</v>
      </c>
    </row>
    <row r="50" spans="1:7" ht="12.75" hidden="1">
      <c r="A50" s="68" t="s">
        <v>71</v>
      </c>
      <c r="B50" s="105" t="s">
        <v>45</v>
      </c>
      <c r="C50" s="69" t="str">
        <f t="shared" si="0"/>
        <v>Construção e Manutenção de Estações e Redes de Distribuição de Energia Elétrica-AC</v>
      </c>
      <c r="D50" s="69"/>
      <c r="E50" s="106">
        <v>0.0529</v>
      </c>
      <c r="F50" s="106">
        <v>0.0592</v>
      </c>
      <c r="G50" s="107">
        <v>0.0793</v>
      </c>
    </row>
    <row r="51" spans="1:7" ht="12.75" hidden="1">
      <c r="A51" s="68" t="str">
        <f t="shared" si="1"/>
        <v>Construção e Manutenção de Estações e Redes de Distribuição de Energia Elétrica</v>
      </c>
      <c r="B51" s="105" t="s">
        <v>48</v>
      </c>
      <c r="C51" s="69" t="str">
        <f t="shared" si="0"/>
        <v>Construção e Manutenção de Estações e Redes de Distribuição de Energia Elétrica-SG</v>
      </c>
      <c r="D51" s="69"/>
      <c r="E51" s="106">
        <v>0.0025</v>
      </c>
      <c r="F51" s="106">
        <v>0.0051</v>
      </c>
      <c r="G51" s="107">
        <v>0.0056</v>
      </c>
    </row>
    <row r="52" spans="1:7" ht="12.75" hidden="1">
      <c r="A52" s="68" t="str">
        <f t="shared" si="1"/>
        <v>Construção e Manutenção de Estações e Redes de Distribuição de Energia Elétrica</v>
      </c>
      <c r="B52" s="105" t="s">
        <v>50</v>
      </c>
      <c r="C52" s="69" t="str">
        <f t="shared" si="0"/>
        <v>Construção e Manutenção de Estações e Redes de Distribuição de Energia Elétrica-R</v>
      </c>
      <c r="D52" s="69"/>
      <c r="E52" s="106">
        <v>0.01</v>
      </c>
      <c r="F52" s="106">
        <v>0.0148</v>
      </c>
      <c r="G52" s="107">
        <v>0.0197</v>
      </c>
    </row>
    <row r="53" spans="1:7" ht="12.75" hidden="1">
      <c r="A53" s="68" t="str">
        <f t="shared" si="1"/>
        <v>Construção e Manutenção de Estações e Redes de Distribuição de Energia Elétrica</v>
      </c>
      <c r="B53" s="105" t="s">
        <v>52</v>
      </c>
      <c r="C53" s="69" t="str">
        <f t="shared" si="0"/>
        <v>Construção e Manutenção de Estações e Redes de Distribuição de Energia Elétrica-DF</v>
      </c>
      <c r="D53" s="69"/>
      <c r="E53" s="106">
        <v>0.0101</v>
      </c>
      <c r="F53" s="106">
        <v>0.0107</v>
      </c>
      <c r="G53" s="107">
        <v>0.0111</v>
      </c>
    </row>
    <row r="54" spans="1:7" ht="12.75" hidden="1">
      <c r="A54" s="68" t="str">
        <f t="shared" si="1"/>
        <v>Construção e Manutenção de Estações e Redes de Distribuição de Energia Elétrica</v>
      </c>
      <c r="B54" s="105" t="s">
        <v>54</v>
      </c>
      <c r="C54" s="69" t="str">
        <f t="shared" si="0"/>
        <v>Construção e Manutenção de Estações e Redes de Distribuição de Energia Elétrica-L</v>
      </c>
      <c r="D54" s="69"/>
      <c r="E54" s="106">
        <v>0.08</v>
      </c>
      <c r="F54" s="106">
        <v>0.0831</v>
      </c>
      <c r="G54" s="107">
        <v>0.0951</v>
      </c>
    </row>
    <row r="55" spans="1:7" ht="12.75" hidden="1">
      <c r="A55" s="68" t="str">
        <f>A54</f>
        <v>Construção e Manutenção de Estações e Redes de Distribuição de Energia Elétrica</v>
      </c>
      <c r="B55" s="108" t="s">
        <v>62</v>
      </c>
      <c r="C55" s="69" t="str">
        <f t="shared" si="0"/>
        <v>Construção e Manutenção de Estações e Redes de Distribuição de Energia Elétrica-BDI PAD</v>
      </c>
      <c r="D55" s="69"/>
      <c r="E55" s="106">
        <v>0.24</v>
      </c>
      <c r="F55" s="106">
        <v>0.2584</v>
      </c>
      <c r="G55" s="107">
        <v>0.2786</v>
      </c>
    </row>
    <row r="56" spans="1:7" ht="12.75" hidden="1">
      <c r="A56" s="68" t="s">
        <v>72</v>
      </c>
      <c r="B56" s="105" t="s">
        <v>45</v>
      </c>
      <c r="C56" s="69" t="str">
        <f t="shared" si="0"/>
        <v>Obras Portuárias, Marítimas e Fluviais-AC</v>
      </c>
      <c r="D56" s="69"/>
      <c r="E56" s="106">
        <v>0.04</v>
      </c>
      <c r="F56" s="106">
        <v>0.0552</v>
      </c>
      <c r="G56" s="107">
        <v>0.0785</v>
      </c>
    </row>
    <row r="57" spans="1:7" ht="12.75" hidden="1">
      <c r="A57" s="68" t="str">
        <f t="shared" si="1"/>
        <v>Obras Portuárias, Marítimas e Fluviais</v>
      </c>
      <c r="B57" s="105" t="s">
        <v>48</v>
      </c>
      <c r="C57" s="69" t="str">
        <f t="shared" si="0"/>
        <v>Obras Portuárias, Marítimas e Fluviais-SG</v>
      </c>
      <c r="D57" s="69"/>
      <c r="E57" s="106">
        <v>0.0081</v>
      </c>
      <c r="F57" s="106">
        <v>0.0122</v>
      </c>
      <c r="G57" s="107">
        <v>0.0199</v>
      </c>
    </row>
    <row r="58" spans="1:7" ht="12.75" hidden="1">
      <c r="A58" s="68" t="str">
        <f t="shared" si="1"/>
        <v>Obras Portuárias, Marítimas e Fluviais</v>
      </c>
      <c r="B58" s="105" t="s">
        <v>50</v>
      </c>
      <c r="C58" s="69" t="str">
        <f t="shared" si="0"/>
        <v>Obras Portuárias, Marítimas e Fluviais-R</v>
      </c>
      <c r="D58" s="69"/>
      <c r="E58" s="106">
        <v>0.0146</v>
      </c>
      <c r="F58" s="106">
        <v>0.0232</v>
      </c>
      <c r="G58" s="107">
        <v>0.0316</v>
      </c>
    </row>
    <row r="59" spans="1:7" ht="12.75" hidden="1">
      <c r="A59" s="68" t="str">
        <f t="shared" si="1"/>
        <v>Obras Portuárias, Marítimas e Fluviais</v>
      </c>
      <c r="B59" s="105" t="s">
        <v>52</v>
      </c>
      <c r="C59" s="69" t="str">
        <f t="shared" si="0"/>
        <v>Obras Portuárias, Marítimas e Fluviais-DF</v>
      </c>
      <c r="D59" s="69"/>
      <c r="E59" s="106">
        <v>0.0094</v>
      </c>
      <c r="F59" s="106">
        <v>0.0102</v>
      </c>
      <c r="G59" s="107">
        <v>0.0133</v>
      </c>
    </row>
    <row r="60" spans="1:7" ht="12.75" hidden="1">
      <c r="A60" s="68" t="str">
        <f t="shared" si="1"/>
        <v>Obras Portuárias, Marítimas e Fluviais</v>
      </c>
      <c r="B60" s="105" t="s">
        <v>54</v>
      </c>
      <c r="C60" s="69" t="str">
        <f t="shared" si="0"/>
        <v>Obras Portuárias, Marítimas e Fluviais-L</v>
      </c>
      <c r="D60" s="69"/>
      <c r="E60" s="106">
        <v>0.0714</v>
      </c>
      <c r="F60" s="106">
        <v>0.084</v>
      </c>
      <c r="G60" s="107">
        <v>0.1043</v>
      </c>
    </row>
    <row r="61" spans="1:7" ht="12.75" hidden="1">
      <c r="A61" s="68" t="str">
        <f>A60</f>
        <v>Obras Portuárias, Marítimas e Fluviais</v>
      </c>
      <c r="B61" s="108" t="s">
        <v>62</v>
      </c>
      <c r="C61" s="69" t="str">
        <f t="shared" si="0"/>
        <v>Obras Portuárias, Marítimas e Fluviais-BDI PAD</v>
      </c>
      <c r="D61" s="69"/>
      <c r="E61" s="106">
        <v>0.228</v>
      </c>
      <c r="F61" s="106">
        <v>0.2748</v>
      </c>
      <c r="G61" s="107">
        <v>0.3095</v>
      </c>
    </row>
    <row r="62" spans="1:7" ht="12.75" hidden="1">
      <c r="A62" s="68" t="s">
        <v>73</v>
      </c>
      <c r="B62" s="105" t="s">
        <v>45</v>
      </c>
      <c r="C62" s="69" t="str">
        <f t="shared" si="0"/>
        <v>Fornecimento de Materiais e Equipamentos-AC</v>
      </c>
      <c r="D62" s="69"/>
      <c r="E62" s="106">
        <v>0.015</v>
      </c>
      <c r="F62" s="106">
        <v>0.0345</v>
      </c>
      <c r="G62" s="107">
        <v>0.0449</v>
      </c>
    </row>
    <row r="63" spans="1:7" ht="12.75" hidden="1">
      <c r="A63" s="68" t="str">
        <f t="shared" si="1"/>
        <v>Fornecimento de Materiais e Equipamentos</v>
      </c>
      <c r="B63" s="105" t="s">
        <v>48</v>
      </c>
      <c r="C63" s="69" t="str">
        <f t="shared" si="0"/>
        <v>Fornecimento de Materiais e Equipamentos-SG</v>
      </c>
      <c r="D63" s="69"/>
      <c r="E63" s="106">
        <v>0.003</v>
      </c>
      <c r="F63" s="106">
        <v>0.0048</v>
      </c>
      <c r="G63" s="107">
        <v>0.0082</v>
      </c>
    </row>
    <row r="64" spans="1:7" ht="12.75" hidden="1">
      <c r="A64" s="68" t="str">
        <f t="shared" si="1"/>
        <v>Fornecimento de Materiais e Equipamentos</v>
      </c>
      <c r="B64" s="105" t="s">
        <v>50</v>
      </c>
      <c r="C64" s="69" t="str">
        <f t="shared" si="0"/>
        <v>Fornecimento de Materiais e Equipamentos-R</v>
      </c>
      <c r="D64" s="69"/>
      <c r="E64" s="106">
        <v>0.0056</v>
      </c>
      <c r="F64" s="106">
        <v>0.0085</v>
      </c>
      <c r="G64" s="107">
        <v>0.0089</v>
      </c>
    </row>
    <row r="65" spans="1:7" ht="12.75" hidden="1">
      <c r="A65" s="68" t="str">
        <f t="shared" si="1"/>
        <v>Fornecimento de Materiais e Equipamentos</v>
      </c>
      <c r="B65" s="105" t="s">
        <v>52</v>
      </c>
      <c r="C65" s="69" t="str">
        <f t="shared" si="0"/>
        <v>Fornecimento de Materiais e Equipamentos-DF</v>
      </c>
      <c r="D65" s="69"/>
      <c r="E65" s="106">
        <v>0.0085</v>
      </c>
      <c r="F65" s="106">
        <v>0.0085</v>
      </c>
      <c r="G65" s="107">
        <v>0.0111</v>
      </c>
    </row>
    <row r="66" spans="1:7" ht="12.75" hidden="1">
      <c r="A66" s="68" t="str">
        <f t="shared" si="1"/>
        <v>Fornecimento de Materiais e Equipamentos</v>
      </c>
      <c r="B66" s="105" t="s">
        <v>54</v>
      </c>
      <c r="C66" s="69" t="str">
        <f t="shared" si="0"/>
        <v>Fornecimento de Materiais e Equipamentos-L</v>
      </c>
      <c r="D66" s="69"/>
      <c r="E66" s="106">
        <v>0.035</v>
      </c>
      <c r="F66" s="106">
        <v>0.0511</v>
      </c>
      <c r="G66" s="107">
        <v>0.0622</v>
      </c>
    </row>
    <row r="67" spans="1:7" ht="12.75" hidden="1">
      <c r="A67" s="68" t="str">
        <f>A66</f>
        <v>Fornecimento de Materiais e Equipamentos</v>
      </c>
      <c r="B67" s="108" t="s">
        <v>62</v>
      </c>
      <c r="C67" s="69" t="str">
        <f t="shared" si="0"/>
        <v>Fornecimento de Materiais e Equipamentos-BDI PAD</v>
      </c>
      <c r="D67" s="69"/>
      <c r="E67" s="106">
        <v>0.111</v>
      </c>
      <c r="F67" s="106">
        <v>0.1402</v>
      </c>
      <c r="G67" s="107">
        <v>0.168</v>
      </c>
    </row>
    <row r="68" spans="1:7" ht="12.75" hidden="1">
      <c r="A68" s="68" t="s">
        <v>74</v>
      </c>
      <c r="B68" s="105" t="s">
        <v>45</v>
      </c>
      <c r="C68" s="69" t="str">
        <f t="shared" si="0"/>
        <v>Estudos e Projetos, Planos e Gerenciamento e outros correlatos-AC</v>
      </c>
      <c r="D68" s="69"/>
      <c r="E68" s="106">
        <v>0</v>
      </c>
      <c r="F68" s="106" t="s">
        <v>46</v>
      </c>
      <c r="G68" s="107" t="s">
        <v>46</v>
      </c>
    </row>
    <row r="69" spans="1:7" ht="12.75" hidden="1">
      <c r="A69" s="68" t="str">
        <f>A68</f>
        <v>Estudos e Projetos, Planos e Gerenciamento e outros correlatos</v>
      </c>
      <c r="B69" s="105" t="s">
        <v>48</v>
      </c>
      <c r="C69" s="69" t="str">
        <f t="shared" si="0"/>
        <v>Estudos e Projetos, Planos e Gerenciamento e outros correlatos-SG</v>
      </c>
      <c r="D69" s="69"/>
      <c r="E69" s="106">
        <v>0</v>
      </c>
      <c r="F69" s="106" t="s">
        <v>46</v>
      </c>
      <c r="G69" s="107" t="s">
        <v>46</v>
      </c>
    </row>
    <row r="70" spans="1:7" ht="12.75" hidden="1">
      <c r="A70" s="68" t="str">
        <f>A69</f>
        <v>Estudos e Projetos, Planos e Gerenciamento e outros correlatos</v>
      </c>
      <c r="B70" s="105" t="s">
        <v>50</v>
      </c>
      <c r="C70" s="69" t="str">
        <f t="shared" si="0"/>
        <v>Estudos e Projetos, Planos e Gerenciamento e outros correlatos-R</v>
      </c>
      <c r="D70" s="69"/>
      <c r="E70" s="106">
        <v>0</v>
      </c>
      <c r="F70" s="106" t="s">
        <v>46</v>
      </c>
      <c r="G70" s="107" t="s">
        <v>46</v>
      </c>
    </row>
    <row r="71" spans="1:7" ht="12.75" hidden="1">
      <c r="A71" s="68" t="str">
        <f>A70</f>
        <v>Estudos e Projetos, Planos e Gerenciamento e outros correlatos</v>
      </c>
      <c r="B71" s="105" t="s">
        <v>52</v>
      </c>
      <c r="C71" s="69" t="str">
        <f t="shared" si="0"/>
        <v>Estudos e Projetos, Planos e Gerenciamento e outros correlatos-DF</v>
      </c>
      <c r="D71" s="69"/>
      <c r="E71" s="106">
        <v>0</v>
      </c>
      <c r="F71" s="106" t="s">
        <v>46</v>
      </c>
      <c r="G71" s="107" t="s">
        <v>46</v>
      </c>
    </row>
    <row r="72" spans="1:7" ht="12.75" hidden="1">
      <c r="A72" s="68" t="str">
        <f>A71</f>
        <v>Estudos e Projetos, Planos e Gerenciamento e outros correlatos</v>
      </c>
      <c r="B72" s="105" t="s">
        <v>54</v>
      </c>
      <c r="C72" s="69" t="str">
        <f t="shared" si="0"/>
        <v>Estudos e Projetos, Planos e Gerenciamento e outros correlatos-L</v>
      </c>
      <c r="D72" s="69"/>
      <c r="E72" s="106">
        <v>0</v>
      </c>
      <c r="F72" s="106" t="s">
        <v>46</v>
      </c>
      <c r="G72" s="107" t="s">
        <v>46</v>
      </c>
    </row>
    <row r="73" spans="1:7" ht="12.75" hidden="1">
      <c r="A73" s="68" t="str">
        <f>A72</f>
        <v>Estudos e Projetos, Planos e Gerenciamento e outros correlatos</v>
      </c>
      <c r="B73" s="108" t="s">
        <v>62</v>
      </c>
      <c r="C73" s="69" t="str">
        <f t="shared" si="0"/>
        <v>Estudos e Projetos, Planos e Gerenciamento e outros correlatos-BDI PAD</v>
      </c>
      <c r="D73" s="69"/>
      <c r="E73" s="106">
        <v>0.2</v>
      </c>
      <c r="F73" s="106">
        <v>0.25</v>
      </c>
      <c r="G73" s="107">
        <v>0.3</v>
      </c>
    </row>
    <row r="74" spans="1:7" ht="12.75" hidden="1">
      <c r="A74" s="68"/>
      <c r="B74" s="69"/>
      <c r="C74" s="69"/>
      <c r="D74" s="69"/>
      <c r="E74" s="69"/>
      <c r="F74" s="69"/>
      <c r="G74" s="70"/>
    </row>
    <row r="75" spans="1:7" ht="12.75" hidden="1">
      <c r="A75" s="68"/>
      <c r="B75" s="69"/>
      <c r="C75" s="69"/>
      <c r="D75" s="69"/>
      <c r="E75" s="69"/>
      <c r="F75" s="69"/>
      <c r="G75" s="70"/>
    </row>
    <row r="76" spans="1:7" ht="12.75" hidden="1">
      <c r="A76" s="68" t="s">
        <v>34</v>
      </c>
      <c r="B76" s="69"/>
      <c r="C76" s="69"/>
      <c r="D76" s="69"/>
      <c r="E76" s="69"/>
      <c r="F76" s="69"/>
      <c r="G76" s="70"/>
    </row>
    <row r="77" spans="1:7" ht="12.75" hidden="1">
      <c r="A77" s="68" t="s">
        <v>69</v>
      </c>
      <c r="B77" s="69"/>
      <c r="C77" s="69"/>
      <c r="D77" s="69"/>
      <c r="E77" s="69"/>
      <c r="F77" s="69"/>
      <c r="G77" s="70"/>
    </row>
    <row r="78" spans="1:7" ht="12.75" hidden="1">
      <c r="A78" s="68" t="s">
        <v>70</v>
      </c>
      <c r="B78" s="69"/>
      <c r="C78" s="69"/>
      <c r="D78" s="69"/>
      <c r="E78" s="69"/>
      <c r="F78" s="69"/>
      <c r="G78" s="70"/>
    </row>
    <row r="79" spans="1:7" ht="12.75" hidden="1">
      <c r="A79" s="68" t="s">
        <v>71</v>
      </c>
      <c r="B79" s="69"/>
      <c r="C79" s="69"/>
      <c r="D79" s="69"/>
      <c r="E79" s="69"/>
      <c r="F79" s="69"/>
      <c r="G79" s="70"/>
    </row>
    <row r="80" spans="1:7" ht="12.75" hidden="1">
      <c r="A80" s="68" t="s">
        <v>72</v>
      </c>
      <c r="B80" s="69"/>
      <c r="C80" s="69"/>
      <c r="D80" s="69"/>
      <c r="E80" s="69"/>
      <c r="F80" s="69"/>
      <c r="G80" s="70"/>
    </row>
    <row r="81" spans="1:7" ht="12.75" hidden="1">
      <c r="A81" s="68" t="s">
        <v>73</v>
      </c>
      <c r="B81" s="69"/>
      <c r="C81" s="69"/>
      <c r="D81" s="69"/>
      <c r="E81" s="69"/>
      <c r="F81" s="69"/>
      <c r="G81" s="70"/>
    </row>
    <row r="82" spans="1:7" ht="12.75" hidden="1">
      <c r="A82" s="68" t="s">
        <v>74</v>
      </c>
      <c r="B82" s="69"/>
      <c r="C82" s="69"/>
      <c r="D82" s="69"/>
      <c r="E82" s="69"/>
      <c r="F82" s="69"/>
      <c r="G82" s="70"/>
    </row>
    <row r="83" spans="1:7" ht="12.75">
      <c r="A83" s="68"/>
      <c r="B83" s="69"/>
      <c r="C83" s="69"/>
      <c r="D83" s="69"/>
      <c r="E83" s="69"/>
      <c r="F83" s="69"/>
      <c r="G83" s="70"/>
    </row>
    <row r="84" spans="1:7" ht="12.75">
      <c r="A84" s="68"/>
      <c r="B84" s="69"/>
      <c r="C84" s="168" t="s">
        <v>95</v>
      </c>
      <c r="D84" s="169"/>
      <c r="E84" s="169"/>
      <c r="F84" s="169"/>
      <c r="G84" s="170"/>
    </row>
    <row r="85" spans="1:7" ht="12.75">
      <c r="A85" s="68"/>
      <c r="B85" s="69"/>
      <c r="C85" s="156" t="s">
        <v>75</v>
      </c>
      <c r="D85" s="156"/>
      <c r="E85" s="156"/>
      <c r="F85" s="156"/>
      <c r="G85" s="157"/>
    </row>
    <row r="86" spans="1:7" ht="45" customHeight="1">
      <c r="A86" s="68"/>
      <c r="B86" s="69"/>
      <c r="C86" s="69"/>
      <c r="D86" s="69"/>
      <c r="E86" s="69"/>
      <c r="F86" s="69"/>
      <c r="G86" s="70"/>
    </row>
    <row r="87" spans="1:7" ht="24.75" customHeight="1">
      <c r="A87" s="150" t="s">
        <v>76</v>
      </c>
      <c r="B87" s="151"/>
      <c r="C87" s="69"/>
      <c r="D87" s="152" t="s">
        <v>96</v>
      </c>
      <c r="E87" s="153"/>
      <c r="F87" s="153"/>
      <c r="G87" s="154"/>
    </row>
    <row r="88" spans="1:7" ht="12.75">
      <c r="A88" s="155" t="s">
        <v>77</v>
      </c>
      <c r="B88" s="151"/>
      <c r="C88" s="69"/>
      <c r="D88" s="156" t="s">
        <v>78</v>
      </c>
      <c r="E88" s="156"/>
      <c r="F88" s="156"/>
      <c r="G88" s="157"/>
    </row>
    <row r="89" spans="1:7" ht="12.75">
      <c r="A89" s="68"/>
      <c r="B89" s="69"/>
      <c r="C89" s="69"/>
      <c r="D89" s="69"/>
      <c r="E89" s="69"/>
      <c r="F89" s="69"/>
      <c r="G89" s="70"/>
    </row>
    <row r="90" spans="1:7" ht="13.5" thickBot="1">
      <c r="A90" s="109"/>
      <c r="B90" s="110"/>
      <c r="C90" s="110"/>
      <c r="D90" s="110"/>
      <c r="E90" s="110"/>
      <c r="F90" s="110"/>
      <c r="G90" s="111"/>
    </row>
    <row r="91" spans="1:7" ht="12.75">
      <c r="A91" s="112"/>
      <c r="B91" s="112"/>
      <c r="C91" s="112"/>
      <c r="D91" s="112"/>
      <c r="E91" s="112"/>
      <c r="F91" s="112"/>
      <c r="G91" s="112"/>
    </row>
    <row r="92" spans="1:7" ht="12.75">
      <c r="A92" s="112"/>
      <c r="B92" s="112"/>
      <c r="C92" s="112"/>
      <c r="D92" s="112"/>
      <c r="E92" s="112"/>
      <c r="F92" s="112"/>
      <c r="G92" s="112"/>
    </row>
    <row r="93" spans="1:7" ht="12.75">
      <c r="A93" s="112"/>
      <c r="B93" s="112"/>
      <c r="C93" s="112"/>
      <c r="D93" s="112"/>
      <c r="E93" s="112"/>
      <c r="F93" s="112"/>
      <c r="G93" s="112"/>
    </row>
    <row r="94" spans="1:7" ht="12.75">
      <c r="A94" s="112"/>
      <c r="B94" s="112"/>
      <c r="C94" s="112"/>
      <c r="D94" s="112"/>
      <c r="E94" s="112"/>
      <c r="F94" s="112"/>
      <c r="G94" s="112"/>
    </row>
  </sheetData>
  <sheetProtection/>
  <mergeCells count="18">
    <mergeCell ref="A2:G2"/>
    <mergeCell ref="B4:G4"/>
    <mergeCell ref="A8:G8"/>
    <mergeCell ref="A9:G9"/>
    <mergeCell ref="A11:E11"/>
    <mergeCell ref="F11:G11"/>
    <mergeCell ref="B5:G6"/>
    <mergeCell ref="A5:A6"/>
    <mergeCell ref="A87:B87"/>
    <mergeCell ref="D87:G87"/>
    <mergeCell ref="A88:B88"/>
    <mergeCell ref="D88:G88"/>
    <mergeCell ref="A12:E12"/>
    <mergeCell ref="F12:G12"/>
    <mergeCell ref="A27:G27"/>
    <mergeCell ref="A29:G29"/>
    <mergeCell ref="C84:G84"/>
    <mergeCell ref="C85:G85"/>
  </mergeCells>
  <conditionalFormatting sqref="C25">
    <cfRule type="expression" priority="3" dxfId="12" stopIfTrue="1">
      <formula>$D$25="NÃO OK"</formula>
    </cfRule>
  </conditionalFormatting>
  <conditionalFormatting sqref="D16:D25">
    <cfRule type="cellIs" priority="1" dxfId="11" operator="equal" stopIfTrue="1">
      <formula>"NÃO OK"</formula>
    </cfRule>
    <cfRule type="cellIs" priority="2" dxfId="10" operator="equal" stopIfTrue="1">
      <formula>"OK"</formula>
    </cfRule>
  </conditionalFormatting>
  <dataValidations count="6">
    <dataValidation type="decimal" allowBlank="1" showInputMessage="1" showErrorMessage="1" errorTitle="Erro de valores" error="Digite um valor entre 0% e 100%" sqref="C16:C21">
      <formula1>0</formula1>
      <formula2>1</formula2>
    </dataValidation>
    <dataValidation type="decimal" operator="greaterThanOrEqual" allowBlank="1" showInputMessage="1" showErrorMessage="1" errorTitle="Valor não permitido" error="Digite um percentual entre 0% e 100%." sqref="F12:G12">
      <formula1>0</formula1>
    </dataValidation>
    <dataValidation type="decimal" allowBlank="1" showInputMessage="1" showErrorMessage="1" errorTitle="Valor não permitido" error="Digite um percentual entre 0% e 100%." sqref="F11:G11">
      <formula1>0</formula1>
      <formula2>1</formula2>
    </dataValidation>
    <dataValidation type="list" allowBlank="1" showInputMessage="1" showErrorMessage="1" sqref="A9:G9">
      <formula1>$A$76:$A$82</formula1>
    </dataValidation>
    <dataValidation type="decimal" allowBlank="1" showInputMessage="1" showErrorMessage="1" errorTitle="Erro de valores" error="Digite um valor maior do que 0." sqref="C22">
      <formula1>0</formula1>
      <formula2>1</formula2>
    </dataValidation>
    <dataValidation type="list" operator="greaterThanOrEqual" allowBlank="1" showInputMessage="1" showErrorMessage="1" errorTitle="Erro de valores" error="Digite um valor igual a 0% ou 2%." sqref="C23">
      <formula1>"0%,4,5%"</formula1>
    </dataValidation>
  </dataValidations>
  <printOptions/>
  <pageMargins left="0.511811024" right="0.511811024" top="0.787401575" bottom="0.787401575" header="0.31496062" footer="0.31496062"/>
  <pageSetup horizontalDpi="300" verticalDpi="300" orientation="portrait" paperSize="9" scale="90" r:id="rId3"/>
  <legacyDrawing r:id="rId2"/>
  <oleObjects>
    <oleObject progId="Equation.3" shapeId="282975" r:id="rId1"/>
  </oleObjects>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tabSelected="1" view="pageBreakPreview" zoomScaleSheetLayoutView="100" zoomScalePageLayoutView="0" workbookViewId="0" topLeftCell="A1">
      <selection activeCell="D12" sqref="D12"/>
    </sheetView>
  </sheetViews>
  <sheetFormatPr defaultColWidth="9.140625" defaultRowHeight="12.75"/>
  <cols>
    <col min="1" max="1" width="6.421875" style="27" customWidth="1"/>
    <col min="2" max="2" width="10.28125" style="27" customWidth="1"/>
    <col min="3" max="3" width="12.421875" style="1" customWidth="1"/>
    <col min="4" max="4" width="62.140625" style="2" customWidth="1"/>
    <col min="5" max="5" width="6.57421875" style="14" customWidth="1"/>
    <col min="6" max="6" width="9.00390625" style="14" customWidth="1"/>
    <col min="7" max="7" width="11.8515625" style="14" customWidth="1"/>
    <col min="8" max="8" width="14.140625" style="14" customWidth="1"/>
    <col min="9" max="9" width="14.28125" style="14" customWidth="1"/>
    <col min="10" max="10" width="14.00390625" style="3" customWidth="1"/>
    <col min="11" max="11" width="10.8515625" style="2" customWidth="1"/>
    <col min="12" max="13" width="9.140625" style="2" customWidth="1"/>
    <col min="14" max="14" width="7.7109375" style="2" customWidth="1"/>
    <col min="15" max="16384" width="9.140625" style="2" customWidth="1"/>
  </cols>
  <sheetData>
    <row r="1" spans="1:10" ht="25.5" customHeight="1">
      <c r="A1" s="46"/>
      <c r="B1" s="47"/>
      <c r="C1" s="48"/>
      <c r="D1" s="199" t="s">
        <v>124</v>
      </c>
      <c r="E1" s="200"/>
      <c r="F1" s="200"/>
      <c r="G1" s="200"/>
      <c r="H1" s="200"/>
      <c r="I1" s="200"/>
      <c r="J1" s="201"/>
    </row>
    <row r="2" spans="1:10" ht="25.5" customHeight="1">
      <c r="A2" s="49"/>
      <c r="B2" s="13"/>
      <c r="C2" s="50"/>
      <c r="D2" s="202" t="s">
        <v>125</v>
      </c>
      <c r="E2" s="203"/>
      <c r="F2" s="203"/>
      <c r="G2" s="203"/>
      <c r="H2" s="203"/>
      <c r="I2" s="203"/>
      <c r="J2" s="204"/>
    </row>
    <row r="3" spans="1:12" ht="12.75" customHeight="1">
      <c r="A3" s="49"/>
      <c r="B3" s="13"/>
      <c r="C3" s="50"/>
      <c r="D3" s="205" t="s">
        <v>17</v>
      </c>
      <c r="E3" s="208" t="s">
        <v>7</v>
      </c>
      <c r="F3" s="208"/>
      <c r="G3" s="208"/>
      <c r="H3" s="208"/>
      <c r="I3" s="149" t="s">
        <v>126</v>
      </c>
      <c r="J3" s="126" t="s">
        <v>90</v>
      </c>
      <c r="K3" s="40"/>
      <c r="L3" s="40"/>
    </row>
    <row r="4" spans="1:10" ht="12.75" customHeight="1">
      <c r="A4" s="49"/>
      <c r="B4" s="13"/>
      <c r="C4" s="50"/>
      <c r="D4" s="206"/>
      <c r="E4" s="209" t="s">
        <v>156</v>
      </c>
      <c r="F4" s="210"/>
      <c r="G4" s="210"/>
      <c r="H4" s="211"/>
      <c r="I4" s="212">
        <f>BDI!C25</f>
        <v>0.3024</v>
      </c>
      <c r="J4" s="215">
        <v>45449</v>
      </c>
    </row>
    <row r="5" spans="1:10" ht="12.75" customHeight="1">
      <c r="A5" s="49"/>
      <c r="B5" s="13"/>
      <c r="C5" s="50"/>
      <c r="D5" s="206"/>
      <c r="E5" s="209" t="s">
        <v>155</v>
      </c>
      <c r="F5" s="210"/>
      <c r="G5" s="210"/>
      <c r="H5" s="211"/>
      <c r="I5" s="213"/>
      <c r="J5" s="216"/>
    </row>
    <row r="6" spans="1:10" ht="12.75" customHeight="1">
      <c r="A6" s="51"/>
      <c r="B6" s="52"/>
      <c r="C6" s="53"/>
      <c r="D6" s="207"/>
      <c r="E6" s="218" t="s">
        <v>154</v>
      </c>
      <c r="F6" s="219"/>
      <c r="G6" s="219"/>
      <c r="H6" s="220"/>
      <c r="I6" s="214"/>
      <c r="J6" s="217"/>
    </row>
    <row r="7" spans="1:10" ht="12.75" customHeight="1">
      <c r="A7" s="221"/>
      <c r="B7" s="222"/>
      <c r="C7" s="222"/>
      <c r="D7" s="222"/>
      <c r="E7" s="222"/>
      <c r="F7" s="222"/>
      <c r="G7" s="222"/>
      <c r="H7" s="222"/>
      <c r="I7" s="222"/>
      <c r="J7" s="223"/>
    </row>
    <row r="8" spans="1:10" ht="25.5" customHeight="1">
      <c r="A8" s="224" t="s">
        <v>130</v>
      </c>
      <c r="B8" s="225"/>
      <c r="C8" s="225"/>
      <c r="D8" s="225"/>
      <c r="E8" s="225"/>
      <c r="F8" s="225"/>
      <c r="G8" s="225"/>
      <c r="H8" s="225"/>
      <c r="I8" s="225"/>
      <c r="J8" s="226"/>
    </row>
    <row r="9" spans="1:10" ht="12.75" customHeight="1">
      <c r="A9" s="227" t="s">
        <v>0</v>
      </c>
      <c r="B9" s="227" t="s">
        <v>4</v>
      </c>
      <c r="C9" s="227" t="s">
        <v>5</v>
      </c>
      <c r="D9" s="227" t="s">
        <v>1</v>
      </c>
      <c r="E9" s="227" t="s">
        <v>8</v>
      </c>
      <c r="F9" s="227" t="s">
        <v>9</v>
      </c>
      <c r="G9" s="244" t="s">
        <v>19</v>
      </c>
      <c r="H9" s="245"/>
      <c r="I9" s="244" t="s">
        <v>20</v>
      </c>
      <c r="J9" s="245"/>
    </row>
    <row r="10" spans="1:10" ht="12.75">
      <c r="A10" s="228"/>
      <c r="B10" s="228"/>
      <c r="C10" s="228"/>
      <c r="D10" s="228"/>
      <c r="E10" s="228"/>
      <c r="F10" s="228"/>
      <c r="G10" s="123" t="s">
        <v>10</v>
      </c>
      <c r="H10" s="123" t="s">
        <v>11</v>
      </c>
      <c r="I10" s="123" t="s">
        <v>10</v>
      </c>
      <c r="J10" s="123" t="s">
        <v>11</v>
      </c>
    </row>
    <row r="11" spans="1:11" s="39" customFormat="1" ht="19.5" customHeight="1">
      <c r="A11" s="42" t="s">
        <v>2</v>
      </c>
      <c r="B11" s="43"/>
      <c r="C11" s="44"/>
      <c r="D11" s="45" t="s">
        <v>131</v>
      </c>
      <c r="E11" s="43"/>
      <c r="F11" s="43"/>
      <c r="G11" s="124"/>
      <c r="H11" s="55"/>
      <c r="I11" s="125"/>
      <c r="J11" s="131">
        <f>SUBTOTAL(9,J12:J25)</f>
        <v>97125.25</v>
      </c>
      <c r="K11" s="38"/>
    </row>
    <row r="12" spans="1:11" ht="76.5">
      <c r="A12" s="31" t="s">
        <v>3</v>
      </c>
      <c r="B12" s="56" t="s">
        <v>172</v>
      </c>
      <c r="C12" s="30" t="s">
        <v>91</v>
      </c>
      <c r="D12" s="54" t="s">
        <v>184</v>
      </c>
      <c r="E12" s="31" t="s">
        <v>136</v>
      </c>
      <c r="F12" s="32">
        <v>2.88</v>
      </c>
      <c r="G12" s="129">
        <v>302.03</v>
      </c>
      <c r="H12" s="129">
        <f>G12*F12</f>
        <v>869.85</v>
      </c>
      <c r="I12" s="129">
        <f>G12*(1+$I$4)</f>
        <v>393.36</v>
      </c>
      <c r="J12" s="130">
        <f>I12*F12</f>
        <v>1132.88</v>
      </c>
      <c r="K12" s="6"/>
    </row>
    <row r="13" spans="1:11" ht="25.5">
      <c r="A13" s="31" t="s">
        <v>18</v>
      </c>
      <c r="B13" s="56" t="s">
        <v>186</v>
      </c>
      <c r="C13" s="30" t="s">
        <v>91</v>
      </c>
      <c r="D13" s="54" t="s">
        <v>193</v>
      </c>
      <c r="E13" s="31" t="s">
        <v>173</v>
      </c>
      <c r="F13" s="32">
        <v>2</v>
      </c>
      <c r="G13" s="196"/>
      <c r="H13" s="197"/>
      <c r="I13" s="198"/>
      <c r="J13" s="130">
        <f>(J12+J15+J16+J17+J18+J19+J20+J21+J22+J23+J24+J25)*(2%)</f>
        <v>1723.91</v>
      </c>
      <c r="K13" s="6"/>
    </row>
    <row r="14" spans="1:11" ht="12.75">
      <c r="A14" s="31" t="s">
        <v>82</v>
      </c>
      <c r="B14" s="56"/>
      <c r="C14" s="30"/>
      <c r="D14" s="54" t="s">
        <v>174</v>
      </c>
      <c r="E14" s="31" t="s">
        <v>173</v>
      </c>
      <c r="F14" s="32">
        <v>100</v>
      </c>
      <c r="G14" s="129">
        <f>(H12+H15+H16+H17+H18+H19+H20+H21+H22+H23+H24+H25)*0.1068</f>
        <v>7068.34</v>
      </c>
      <c r="H14" s="129">
        <f>(G14*F14)/100</f>
        <v>7068.34</v>
      </c>
      <c r="I14" s="129">
        <f>G14*(1+$I$4)</f>
        <v>9205.81</v>
      </c>
      <c r="J14" s="130">
        <f>(I14*F14)/100</f>
        <v>9205.81</v>
      </c>
      <c r="K14" s="6"/>
    </row>
    <row r="15" spans="1:11" ht="38.25">
      <c r="A15" s="31" t="s">
        <v>83</v>
      </c>
      <c r="B15" s="56" t="s">
        <v>185</v>
      </c>
      <c r="C15" s="30" t="s">
        <v>91</v>
      </c>
      <c r="D15" s="54" t="s">
        <v>191</v>
      </c>
      <c r="E15" s="31" t="s">
        <v>136</v>
      </c>
      <c r="F15" s="32">
        <f>9.68*13.19</f>
        <v>127.68</v>
      </c>
      <c r="G15" s="129">
        <v>2.15</v>
      </c>
      <c r="H15" s="129">
        <f>G15*F15</f>
        <v>274.51</v>
      </c>
      <c r="I15" s="129">
        <f>G15*(1+$I$4)</f>
        <v>2.8</v>
      </c>
      <c r="J15" s="130">
        <f>I15*F15</f>
        <v>357.5</v>
      </c>
      <c r="K15" s="6"/>
    </row>
    <row r="16" spans="1:11" ht="63.75">
      <c r="A16" s="31" t="s">
        <v>84</v>
      </c>
      <c r="B16" s="56">
        <v>90100</v>
      </c>
      <c r="C16" s="30" t="s">
        <v>6</v>
      </c>
      <c r="D16" s="54" t="s">
        <v>93</v>
      </c>
      <c r="E16" s="31" t="s">
        <v>135</v>
      </c>
      <c r="F16" s="32">
        <f>3.5*9.9*7</f>
        <v>242.55</v>
      </c>
      <c r="G16" s="129">
        <v>13.04</v>
      </c>
      <c r="H16" s="129">
        <f aca="true" t="shared" si="0" ref="H16:H23">G16*F16</f>
        <v>3162.85</v>
      </c>
      <c r="I16" s="129">
        <f aca="true" t="shared" si="1" ref="I16:I23">G16*(1+$I$4)</f>
        <v>16.98</v>
      </c>
      <c r="J16" s="130">
        <f aca="true" t="shared" si="2" ref="J16:J23">I16*F16</f>
        <v>4118.5</v>
      </c>
      <c r="K16" s="6"/>
    </row>
    <row r="17" spans="1:11" ht="38.25">
      <c r="A17" s="31" t="s">
        <v>115</v>
      </c>
      <c r="B17" s="56">
        <v>94990</v>
      </c>
      <c r="C17" s="30" t="s">
        <v>6</v>
      </c>
      <c r="D17" s="54" t="s">
        <v>87</v>
      </c>
      <c r="E17" s="31" t="s">
        <v>135</v>
      </c>
      <c r="F17" s="32">
        <f>9.9*8*0.2</f>
        <v>15.84</v>
      </c>
      <c r="G17" s="129">
        <v>765.22</v>
      </c>
      <c r="H17" s="129">
        <f t="shared" si="0"/>
        <v>12121.08</v>
      </c>
      <c r="I17" s="129">
        <f t="shared" si="1"/>
        <v>996.62</v>
      </c>
      <c r="J17" s="130">
        <f t="shared" si="2"/>
        <v>15786.46</v>
      </c>
      <c r="K17" s="6"/>
    </row>
    <row r="18" spans="1:11" ht="25.5">
      <c r="A18" s="31" t="s">
        <v>151</v>
      </c>
      <c r="B18" s="116" t="s">
        <v>99</v>
      </c>
      <c r="C18" s="30" t="s">
        <v>129</v>
      </c>
      <c r="D18" s="54" t="str">
        <f>'Composição de Custo'!D11</f>
        <v>Bueiro metálico com chapas múltiplas MP 100 galvanizadas - D = 2,50 m - brita comercial - somente instalação</v>
      </c>
      <c r="E18" s="31" t="s">
        <v>100</v>
      </c>
      <c r="F18" s="32">
        <f>6*3</f>
        <v>18</v>
      </c>
      <c r="G18" s="129">
        <f>'Composição de Custo'!H11</f>
        <v>1074.81</v>
      </c>
      <c r="H18" s="129">
        <f t="shared" si="0"/>
        <v>19346.58</v>
      </c>
      <c r="I18" s="129">
        <f t="shared" si="1"/>
        <v>1399.83</v>
      </c>
      <c r="J18" s="130">
        <f t="shared" si="2"/>
        <v>25196.94</v>
      </c>
      <c r="K18" s="6">
        <f>3*((PI()*(1.25^2)))</f>
        <v>14.7262155637022</v>
      </c>
    </row>
    <row r="19" spans="1:11" ht="51">
      <c r="A19" s="31" t="s">
        <v>152</v>
      </c>
      <c r="B19" s="56" t="s">
        <v>148</v>
      </c>
      <c r="C19" s="30" t="s">
        <v>91</v>
      </c>
      <c r="D19" s="54" t="s">
        <v>160</v>
      </c>
      <c r="E19" s="31" t="s">
        <v>136</v>
      </c>
      <c r="F19" s="32">
        <f>2*((9.9*3.3)-(3*PI()*(1.25^2))+(2*1.8*0.8)+(2*((1.8*2.5)/2)))</f>
        <v>50.65</v>
      </c>
      <c r="G19" s="129">
        <v>244.96</v>
      </c>
      <c r="H19" s="129">
        <f t="shared" si="0"/>
        <v>12407.22</v>
      </c>
      <c r="I19" s="129">
        <f t="shared" si="1"/>
        <v>319.04</v>
      </c>
      <c r="J19" s="130">
        <f t="shared" si="2"/>
        <v>16159.38</v>
      </c>
      <c r="K19" s="6">
        <f>3*((PI()*(2.5^2))/4)</f>
        <v>14.7262155637022</v>
      </c>
    </row>
    <row r="20" spans="1:11" ht="38.25">
      <c r="A20" s="31" t="s">
        <v>175</v>
      </c>
      <c r="B20" s="56">
        <v>96385</v>
      </c>
      <c r="C20" s="30" t="s">
        <v>6</v>
      </c>
      <c r="D20" s="54" t="s">
        <v>128</v>
      </c>
      <c r="E20" s="31" t="s">
        <v>114</v>
      </c>
      <c r="F20" s="32">
        <f>(3.3*9.9*6.4)-(3*PI()*(1.25^2))</f>
        <v>194.36</v>
      </c>
      <c r="G20" s="129">
        <v>11.08</v>
      </c>
      <c r="H20" s="129">
        <f t="shared" si="0"/>
        <v>2153.51</v>
      </c>
      <c r="I20" s="129">
        <f t="shared" si="1"/>
        <v>14.43</v>
      </c>
      <c r="J20" s="130">
        <f t="shared" si="2"/>
        <v>2804.61</v>
      </c>
      <c r="K20" s="6">
        <f>242.55-207.03</f>
        <v>35.52</v>
      </c>
    </row>
    <row r="21" spans="1:11" ht="51">
      <c r="A21" s="31" t="s">
        <v>176</v>
      </c>
      <c r="B21" s="56" t="s">
        <v>147</v>
      </c>
      <c r="C21" s="30" t="s">
        <v>91</v>
      </c>
      <c r="D21" s="54" t="s">
        <v>159</v>
      </c>
      <c r="E21" s="31" t="s">
        <v>136</v>
      </c>
      <c r="F21" s="32">
        <f>2*9.9*0.9</f>
        <v>17.82</v>
      </c>
      <c r="G21" s="129">
        <v>154.05</v>
      </c>
      <c r="H21" s="129">
        <f t="shared" si="0"/>
        <v>2745.17</v>
      </c>
      <c r="I21" s="129">
        <f t="shared" si="1"/>
        <v>200.63</v>
      </c>
      <c r="J21" s="130">
        <f t="shared" si="2"/>
        <v>3575.23</v>
      </c>
      <c r="K21" s="6"/>
    </row>
    <row r="22" spans="1:11" ht="25.5">
      <c r="A22" s="31" t="s">
        <v>177</v>
      </c>
      <c r="B22" s="56" t="s">
        <v>149</v>
      </c>
      <c r="C22" s="30" t="s">
        <v>91</v>
      </c>
      <c r="D22" s="54" t="s">
        <v>157</v>
      </c>
      <c r="E22" s="31" t="s">
        <v>114</v>
      </c>
      <c r="F22" s="32">
        <f>9.9*0.2*0.2</f>
        <v>0.4</v>
      </c>
      <c r="G22" s="140">
        <v>552.35</v>
      </c>
      <c r="H22" s="129">
        <f t="shared" si="0"/>
        <v>220.94</v>
      </c>
      <c r="I22" s="129">
        <f t="shared" si="1"/>
        <v>719.38</v>
      </c>
      <c r="J22" s="130">
        <f t="shared" si="2"/>
        <v>287.75</v>
      </c>
      <c r="K22" s="6"/>
    </row>
    <row r="23" spans="1:11" ht="38.25">
      <c r="A23" s="31" t="s">
        <v>178</v>
      </c>
      <c r="B23" s="56" t="s">
        <v>150</v>
      </c>
      <c r="C23" s="30" t="s">
        <v>91</v>
      </c>
      <c r="D23" s="54" t="s">
        <v>158</v>
      </c>
      <c r="E23" s="31" t="s">
        <v>136</v>
      </c>
      <c r="F23" s="32">
        <f>9.9*0.3</f>
        <v>2.97</v>
      </c>
      <c r="G23" s="140">
        <v>52.5</v>
      </c>
      <c r="H23" s="129">
        <f t="shared" si="0"/>
        <v>155.93</v>
      </c>
      <c r="I23" s="129">
        <f t="shared" si="1"/>
        <v>68.38</v>
      </c>
      <c r="J23" s="130">
        <f t="shared" si="2"/>
        <v>203.09</v>
      </c>
      <c r="K23" s="6"/>
    </row>
    <row r="24" spans="1:11" ht="63.75">
      <c r="A24" s="31" t="s">
        <v>196</v>
      </c>
      <c r="B24" s="56" t="s">
        <v>171</v>
      </c>
      <c r="C24" s="30" t="s">
        <v>91</v>
      </c>
      <c r="D24" s="54" t="s">
        <v>179</v>
      </c>
      <c r="E24" s="31" t="s">
        <v>136</v>
      </c>
      <c r="F24" s="32">
        <f>9.9*6.4</f>
        <v>63.36</v>
      </c>
      <c r="G24" s="140">
        <v>197.3</v>
      </c>
      <c r="H24" s="129">
        <f>G24*F24</f>
        <v>12500.93</v>
      </c>
      <c r="I24" s="129">
        <f>G24*(1+$I$4)</f>
        <v>256.96</v>
      </c>
      <c r="J24" s="130">
        <f>I24*F24</f>
        <v>16280.99</v>
      </c>
      <c r="K24" s="6"/>
    </row>
    <row r="25" spans="1:11" ht="38.25">
      <c r="A25" s="31" t="s">
        <v>200</v>
      </c>
      <c r="B25" s="56">
        <v>5212558</v>
      </c>
      <c r="C25" s="30" t="s">
        <v>85</v>
      </c>
      <c r="D25" s="54" t="s">
        <v>199</v>
      </c>
      <c r="E25" s="31" t="s">
        <v>198</v>
      </c>
      <c r="F25" s="32">
        <f>2*30</f>
        <v>60</v>
      </c>
      <c r="G25" s="140">
        <v>3.74</v>
      </c>
      <c r="H25" s="129">
        <f>G25*F25</f>
        <v>224.4</v>
      </c>
      <c r="I25" s="129">
        <f>G25*(1+$I$4)</f>
        <v>4.87</v>
      </c>
      <c r="J25" s="130">
        <f>I25*F25</f>
        <v>292.2</v>
      </c>
      <c r="K25" s="6"/>
    </row>
    <row r="26" spans="1:11" s="39" customFormat="1" ht="19.5" customHeight="1">
      <c r="A26" s="141" t="s">
        <v>127</v>
      </c>
      <c r="B26" s="43"/>
      <c r="C26" s="44"/>
      <c r="D26" s="45" t="s">
        <v>132</v>
      </c>
      <c r="E26" s="43"/>
      <c r="F26" s="43"/>
      <c r="G26" s="124"/>
      <c r="H26" s="55"/>
      <c r="I26" s="125"/>
      <c r="J26" s="131">
        <f>SUBTOTAL(9,J27:J41)</f>
        <v>52684.3</v>
      </c>
      <c r="K26" s="38"/>
    </row>
    <row r="27" spans="1:11" ht="76.5">
      <c r="A27" s="31" t="s">
        <v>117</v>
      </c>
      <c r="B27" s="56" t="s">
        <v>172</v>
      </c>
      <c r="C27" s="30" t="s">
        <v>91</v>
      </c>
      <c r="D27" s="54" t="s">
        <v>184</v>
      </c>
      <c r="E27" s="31" t="s">
        <v>136</v>
      </c>
      <c r="F27" s="32">
        <v>2.88</v>
      </c>
      <c r="G27" s="129">
        <v>302.03</v>
      </c>
      <c r="H27" s="129">
        <f>G27*F27</f>
        <v>869.85</v>
      </c>
      <c r="I27" s="129">
        <f>G27*(1+$I$4)</f>
        <v>393.36</v>
      </c>
      <c r="J27" s="130">
        <f>I27*F27</f>
        <v>1132.88</v>
      </c>
      <c r="K27" s="6"/>
    </row>
    <row r="28" spans="1:11" ht="25.5">
      <c r="A28" s="31" t="s">
        <v>118</v>
      </c>
      <c r="B28" s="56" t="s">
        <v>186</v>
      </c>
      <c r="C28" s="30" t="s">
        <v>91</v>
      </c>
      <c r="D28" s="54" t="s">
        <v>193</v>
      </c>
      <c r="E28" s="31" t="s">
        <v>173</v>
      </c>
      <c r="F28" s="32">
        <v>2</v>
      </c>
      <c r="G28" s="196"/>
      <c r="H28" s="197"/>
      <c r="I28" s="198"/>
      <c r="J28" s="130">
        <f>(J27+J30+J31+J32+J33+J34+J35+J36+J37+J38+J39+J40+J41)*(2%)</f>
        <v>935.11</v>
      </c>
      <c r="K28" s="6"/>
    </row>
    <row r="29" spans="1:11" ht="12.75">
      <c r="A29" s="31" t="s">
        <v>119</v>
      </c>
      <c r="B29" s="56"/>
      <c r="C29" s="30"/>
      <c r="D29" s="54" t="s">
        <v>174</v>
      </c>
      <c r="E29" s="31" t="s">
        <v>173</v>
      </c>
      <c r="F29" s="32">
        <v>100</v>
      </c>
      <c r="G29" s="129">
        <f>(H27+H30+H31+H32+H33+H34+H35+H36+H37+H38+H39+H40+H41)*0.1068</f>
        <v>3834.11</v>
      </c>
      <c r="H29" s="129">
        <f>(G29*F29)/100</f>
        <v>3834.11</v>
      </c>
      <c r="I29" s="129">
        <f>G29*(1+$I$4)</f>
        <v>4993.54</v>
      </c>
      <c r="J29" s="130">
        <f>(I29*F29)/100</f>
        <v>4993.54</v>
      </c>
      <c r="K29" s="6"/>
    </row>
    <row r="30" spans="1:11" ht="38.25">
      <c r="A30" s="31" t="s">
        <v>120</v>
      </c>
      <c r="B30" s="56" t="s">
        <v>185</v>
      </c>
      <c r="C30" s="30" t="s">
        <v>91</v>
      </c>
      <c r="D30" s="54" t="s">
        <v>191</v>
      </c>
      <c r="E30" s="31" t="s">
        <v>136</v>
      </c>
      <c r="F30" s="32">
        <f>9.68*10.19</f>
        <v>98.64</v>
      </c>
      <c r="G30" s="129">
        <v>2.15</v>
      </c>
      <c r="H30" s="129">
        <f>G30*F30</f>
        <v>212.08</v>
      </c>
      <c r="I30" s="129">
        <f>G30*(1+$I$4)</f>
        <v>2.8</v>
      </c>
      <c r="J30" s="130">
        <f>I30*F30</f>
        <v>276.19</v>
      </c>
      <c r="K30" s="6"/>
    </row>
    <row r="31" spans="1:11" ht="25.5">
      <c r="A31" s="31" t="s">
        <v>121</v>
      </c>
      <c r="B31" s="56">
        <v>97643</v>
      </c>
      <c r="C31" s="30" t="s">
        <v>6</v>
      </c>
      <c r="D31" s="54" t="s">
        <v>187</v>
      </c>
      <c r="E31" s="31" t="s">
        <v>188</v>
      </c>
      <c r="F31" s="32">
        <f>6*6.9</f>
        <v>41.4</v>
      </c>
      <c r="G31" s="129">
        <v>22.34</v>
      </c>
      <c r="H31" s="129">
        <f>G31*F31</f>
        <v>924.88</v>
      </c>
      <c r="I31" s="129">
        <f>G31*(1+$I$4)</f>
        <v>29.1</v>
      </c>
      <c r="J31" s="130">
        <f>I31*F31</f>
        <v>1204.74</v>
      </c>
      <c r="K31" s="6"/>
    </row>
    <row r="32" spans="1:11" ht="63.75">
      <c r="A32" s="31" t="s">
        <v>122</v>
      </c>
      <c r="B32" s="56">
        <v>90100</v>
      </c>
      <c r="C32" s="30" t="s">
        <v>6</v>
      </c>
      <c r="D32" s="54" t="s">
        <v>93</v>
      </c>
      <c r="E32" s="31" t="s">
        <v>135</v>
      </c>
      <c r="F32" s="32">
        <f>2.5*6.9*7</f>
        <v>120.75</v>
      </c>
      <c r="G32" s="129">
        <v>13.04</v>
      </c>
      <c r="H32" s="129">
        <f aca="true" t="shared" si="3" ref="H32:H39">G32*F32</f>
        <v>1574.58</v>
      </c>
      <c r="I32" s="129">
        <f aca="true" t="shared" si="4" ref="I32:I39">G32*(1+$I$4)</f>
        <v>16.98</v>
      </c>
      <c r="J32" s="130">
        <f aca="true" t="shared" si="5" ref="J32:J39">I32*F32</f>
        <v>2050.34</v>
      </c>
      <c r="K32" s="6"/>
    </row>
    <row r="33" spans="1:11" ht="38.25">
      <c r="A33" s="31" t="s">
        <v>133</v>
      </c>
      <c r="B33" s="56">
        <v>94990</v>
      </c>
      <c r="C33" s="30" t="s">
        <v>6</v>
      </c>
      <c r="D33" s="54" t="s">
        <v>87</v>
      </c>
      <c r="E33" s="31" t="s">
        <v>135</v>
      </c>
      <c r="F33" s="32">
        <f>6.9*8*0.2</f>
        <v>11.04</v>
      </c>
      <c r="G33" s="129">
        <v>765.22</v>
      </c>
      <c r="H33" s="129">
        <f t="shared" si="3"/>
        <v>8448.03</v>
      </c>
      <c r="I33" s="129">
        <f t="shared" si="4"/>
        <v>996.62</v>
      </c>
      <c r="J33" s="130">
        <f t="shared" si="5"/>
        <v>11002.68</v>
      </c>
      <c r="K33" s="6"/>
    </row>
    <row r="34" spans="1:11" ht="25.5">
      <c r="A34" s="31" t="s">
        <v>134</v>
      </c>
      <c r="B34" s="116" t="s">
        <v>116</v>
      </c>
      <c r="C34" s="30" t="s">
        <v>129</v>
      </c>
      <c r="D34" s="54" t="str">
        <f>'Composição de Custo'!D19</f>
        <v>Bueiro metálico com chapas múltiplas MP 100 galvanizadas - D = 1,50 m - brita comercial - somente instalação</v>
      </c>
      <c r="E34" s="31" t="s">
        <v>100</v>
      </c>
      <c r="F34" s="32">
        <f>6*3</f>
        <v>18</v>
      </c>
      <c r="G34" s="129">
        <f>'Composição de Custo'!H19</f>
        <v>209.88</v>
      </c>
      <c r="H34" s="129">
        <f t="shared" si="3"/>
        <v>3777.84</v>
      </c>
      <c r="I34" s="129">
        <f t="shared" si="4"/>
        <v>273.35</v>
      </c>
      <c r="J34" s="130">
        <f t="shared" si="5"/>
        <v>4920.3</v>
      </c>
      <c r="K34" s="6"/>
    </row>
    <row r="35" spans="1:11" ht="51">
      <c r="A35" s="31" t="s">
        <v>180</v>
      </c>
      <c r="B35" s="56" t="s">
        <v>148</v>
      </c>
      <c r="C35" s="30" t="s">
        <v>91</v>
      </c>
      <c r="D35" s="54" t="s">
        <v>160</v>
      </c>
      <c r="E35" s="31" t="s">
        <v>136</v>
      </c>
      <c r="F35" s="32">
        <f>2*((6.9*2.3)-(3*PI()*(0.75^2))+(2*1.8*0.8)+(2*((1.8*1.5)/2)))</f>
        <v>32.3</v>
      </c>
      <c r="G35" s="129">
        <v>244.96</v>
      </c>
      <c r="H35" s="129">
        <f t="shared" si="3"/>
        <v>7912.21</v>
      </c>
      <c r="I35" s="129">
        <f t="shared" si="4"/>
        <v>319.04</v>
      </c>
      <c r="J35" s="130">
        <f t="shared" si="5"/>
        <v>10304.99</v>
      </c>
      <c r="K35" s="6"/>
    </row>
    <row r="36" spans="1:11" ht="38.25">
      <c r="A36" s="31" t="s">
        <v>181</v>
      </c>
      <c r="B36" s="56">
        <v>96385</v>
      </c>
      <c r="C36" s="30" t="s">
        <v>6</v>
      </c>
      <c r="D36" s="54" t="s">
        <v>128</v>
      </c>
      <c r="E36" s="31" t="s">
        <v>114</v>
      </c>
      <c r="F36" s="32">
        <f>(2.3*6.9*6.4)-(3*PI()*(0.75^2))</f>
        <v>96.27</v>
      </c>
      <c r="G36" s="129">
        <v>11.08</v>
      </c>
      <c r="H36" s="129">
        <f t="shared" si="3"/>
        <v>1066.67</v>
      </c>
      <c r="I36" s="129">
        <f t="shared" si="4"/>
        <v>14.43</v>
      </c>
      <c r="J36" s="130">
        <f t="shared" si="5"/>
        <v>1389.18</v>
      </c>
      <c r="K36" s="6"/>
    </row>
    <row r="37" spans="1:11" ht="51">
      <c r="A37" s="31" t="s">
        <v>182</v>
      </c>
      <c r="B37" s="56" t="s">
        <v>147</v>
      </c>
      <c r="C37" s="30" t="s">
        <v>91</v>
      </c>
      <c r="D37" s="54" t="s">
        <v>159</v>
      </c>
      <c r="E37" s="31" t="s">
        <v>136</v>
      </c>
      <c r="F37" s="32">
        <f>2*6.9*0.9</f>
        <v>12.42</v>
      </c>
      <c r="G37" s="129">
        <v>154.05</v>
      </c>
      <c r="H37" s="129">
        <f t="shared" si="3"/>
        <v>1913.3</v>
      </c>
      <c r="I37" s="129">
        <f t="shared" si="4"/>
        <v>200.63</v>
      </c>
      <c r="J37" s="130">
        <f t="shared" si="5"/>
        <v>2491.82</v>
      </c>
      <c r="K37" s="6"/>
    </row>
    <row r="38" spans="1:11" ht="25.5">
      <c r="A38" s="31" t="s">
        <v>183</v>
      </c>
      <c r="B38" s="56" t="s">
        <v>149</v>
      </c>
      <c r="C38" s="30" t="s">
        <v>91</v>
      </c>
      <c r="D38" s="54" t="s">
        <v>157</v>
      </c>
      <c r="E38" s="31" t="s">
        <v>114</v>
      </c>
      <c r="F38" s="32">
        <f>6.9*0.2*0.2</f>
        <v>0.28</v>
      </c>
      <c r="G38" s="140">
        <v>552.35</v>
      </c>
      <c r="H38" s="129">
        <f t="shared" si="3"/>
        <v>154.66</v>
      </c>
      <c r="I38" s="129">
        <f t="shared" si="4"/>
        <v>719.38</v>
      </c>
      <c r="J38" s="130">
        <f t="shared" si="5"/>
        <v>201.43</v>
      </c>
      <c r="K38" s="6"/>
    </row>
    <row r="39" spans="1:11" ht="38.25">
      <c r="A39" s="31" t="s">
        <v>189</v>
      </c>
      <c r="B39" s="56" t="s">
        <v>153</v>
      </c>
      <c r="C39" s="30" t="s">
        <v>91</v>
      </c>
      <c r="D39" s="54" t="s">
        <v>158</v>
      </c>
      <c r="E39" s="31" t="s">
        <v>136</v>
      </c>
      <c r="F39" s="32">
        <f>6.9*0.3</f>
        <v>2.07</v>
      </c>
      <c r="G39" s="140">
        <v>52.5</v>
      </c>
      <c r="H39" s="129">
        <f t="shared" si="3"/>
        <v>108.68</v>
      </c>
      <c r="I39" s="129">
        <f t="shared" si="4"/>
        <v>68.38</v>
      </c>
      <c r="J39" s="130">
        <f t="shared" si="5"/>
        <v>141.55</v>
      </c>
      <c r="K39" s="6"/>
    </row>
    <row r="40" spans="1:11" ht="63.75">
      <c r="A40" s="31" t="s">
        <v>190</v>
      </c>
      <c r="B40" s="56" t="s">
        <v>171</v>
      </c>
      <c r="C40" s="30" t="s">
        <v>91</v>
      </c>
      <c r="D40" s="54" t="s">
        <v>179</v>
      </c>
      <c r="E40" s="31" t="s">
        <v>136</v>
      </c>
      <c r="F40" s="32">
        <f>6.9*6.4</f>
        <v>44.16</v>
      </c>
      <c r="G40" s="140">
        <v>197.3</v>
      </c>
      <c r="H40" s="129">
        <f>G40*F40</f>
        <v>8712.77</v>
      </c>
      <c r="I40" s="129">
        <f>G40*(1+$I$4)</f>
        <v>256.96</v>
      </c>
      <c r="J40" s="130">
        <f>I40*F40</f>
        <v>11347.35</v>
      </c>
      <c r="K40" s="6"/>
    </row>
    <row r="41" spans="1:11" ht="38.25">
      <c r="A41" s="31" t="s">
        <v>201</v>
      </c>
      <c r="B41" s="56">
        <v>5212558</v>
      </c>
      <c r="C41" s="30" t="s">
        <v>85</v>
      </c>
      <c r="D41" s="54" t="s">
        <v>199</v>
      </c>
      <c r="E41" s="31" t="s">
        <v>198</v>
      </c>
      <c r="F41" s="32">
        <f>2*30</f>
        <v>60</v>
      </c>
      <c r="G41" s="140">
        <v>3.74</v>
      </c>
      <c r="H41" s="129">
        <f>G41*F41</f>
        <v>224.4</v>
      </c>
      <c r="I41" s="129">
        <f>G41*(1+$I$4)</f>
        <v>4.87</v>
      </c>
      <c r="J41" s="130">
        <f>I41*F41</f>
        <v>292.2</v>
      </c>
      <c r="K41" s="6"/>
    </row>
    <row r="42" spans="1:11" ht="12.75" customHeight="1">
      <c r="A42" s="235" t="s">
        <v>12</v>
      </c>
      <c r="B42" s="235"/>
      <c r="C42" s="235"/>
      <c r="D42" s="236"/>
      <c r="E42" s="237"/>
      <c r="F42" s="237"/>
      <c r="G42" s="238"/>
      <c r="H42" s="240"/>
      <c r="I42" s="229"/>
      <c r="J42" s="231">
        <f>SUBTOTAL(9,J11:J41)</f>
        <v>149809.55</v>
      </c>
      <c r="K42" s="7"/>
    </row>
    <row r="43" spans="1:11" ht="12.75">
      <c r="A43" s="235"/>
      <c r="B43" s="235"/>
      <c r="C43" s="235"/>
      <c r="D43" s="236"/>
      <c r="E43" s="237"/>
      <c r="F43" s="237"/>
      <c r="G43" s="239"/>
      <c r="H43" s="241"/>
      <c r="I43" s="230"/>
      <c r="J43" s="231"/>
      <c r="K43" s="7"/>
    </row>
    <row r="44" spans="4:11" ht="12.75">
      <c r="D44" s="13"/>
      <c r="J44" s="6"/>
      <c r="K44" s="7"/>
    </row>
    <row r="45" spans="1:11" s="11" customFormat="1" ht="12.75" customHeight="1">
      <c r="A45" s="28"/>
      <c r="B45" s="28"/>
      <c r="C45" s="9"/>
      <c r="D45" s="13"/>
      <c r="E45" s="10"/>
      <c r="F45" s="41"/>
      <c r="G45" s="14"/>
      <c r="H45" s="14"/>
      <c r="I45" s="14"/>
      <c r="J45" s="15"/>
      <c r="K45" s="8"/>
    </row>
    <row r="46" spans="1:10" s="11" customFormat="1" ht="12.75" customHeight="1">
      <c r="A46" s="27"/>
      <c r="B46" s="27"/>
      <c r="C46" s="1"/>
      <c r="D46" s="13"/>
      <c r="E46" s="14"/>
      <c r="F46" s="29"/>
      <c r="G46" s="33"/>
      <c r="H46" s="33"/>
      <c r="I46" s="33"/>
      <c r="J46" s="16"/>
    </row>
    <row r="47" spans="1:13" ht="12.75">
      <c r="A47" s="232" t="s">
        <v>15</v>
      </c>
      <c r="B47" s="232"/>
      <c r="C47" s="232"/>
      <c r="D47" s="232"/>
      <c r="E47" s="232"/>
      <c r="F47" s="232"/>
      <c r="G47" s="232"/>
      <c r="H47" s="232"/>
      <c r="I47" s="232"/>
      <c r="J47" s="232"/>
      <c r="K47" s="3"/>
      <c r="L47" s="3"/>
      <c r="M47" s="12"/>
    </row>
    <row r="48" spans="1:10" ht="12.75">
      <c r="A48" s="233" t="s">
        <v>13</v>
      </c>
      <c r="B48" s="233"/>
      <c r="C48" s="233"/>
      <c r="D48" s="233"/>
      <c r="E48" s="233"/>
      <c r="F48" s="233"/>
      <c r="G48" s="233"/>
      <c r="H48" s="233"/>
      <c r="I48" s="233"/>
      <c r="J48" s="233"/>
    </row>
    <row r="49" spans="1:10" ht="12" customHeight="1">
      <c r="A49" s="234" t="s">
        <v>14</v>
      </c>
      <c r="B49" s="234"/>
      <c r="C49" s="234"/>
      <c r="D49" s="234"/>
      <c r="E49" s="234"/>
      <c r="F49" s="234"/>
      <c r="G49" s="234"/>
      <c r="H49" s="234"/>
      <c r="I49" s="234"/>
      <c r="J49" s="234"/>
    </row>
    <row r="50" spans="1:10" ht="12.75">
      <c r="A50" s="246" t="s">
        <v>16</v>
      </c>
      <c r="B50" s="246"/>
      <c r="C50" s="246"/>
      <c r="D50" s="246"/>
      <c r="E50" s="246"/>
      <c r="F50" s="246"/>
      <c r="G50" s="246"/>
      <c r="H50" s="246"/>
      <c r="I50" s="246"/>
      <c r="J50" s="246"/>
    </row>
    <row r="51" spans="4:10" ht="12.75">
      <c r="D51" s="13"/>
      <c r="F51" s="29"/>
      <c r="G51" s="33"/>
      <c r="H51" s="33"/>
      <c r="I51" s="33"/>
      <c r="J51" s="15"/>
    </row>
    <row r="52" spans="1:10" ht="15.75">
      <c r="A52" s="26"/>
      <c r="B52" s="26"/>
      <c r="C52" s="4"/>
      <c r="D52" s="243"/>
      <c r="E52" s="243"/>
      <c r="F52" s="243"/>
      <c r="G52" s="243"/>
      <c r="H52" s="243"/>
      <c r="I52" s="243"/>
      <c r="J52" s="243"/>
    </row>
    <row r="53" spans="1:10" ht="15.75">
      <c r="A53" s="26"/>
      <c r="B53" s="26"/>
      <c r="C53" s="4"/>
      <c r="D53" s="247"/>
      <c r="E53" s="247"/>
      <c r="F53" s="17"/>
      <c r="G53" s="34"/>
      <c r="H53" s="34"/>
      <c r="I53" s="34"/>
      <c r="J53" s="18"/>
    </row>
    <row r="54" spans="4:14" ht="15.75">
      <c r="D54" s="247"/>
      <c r="E54" s="247"/>
      <c r="F54" s="17"/>
      <c r="G54" s="34"/>
      <c r="H54" s="34"/>
      <c r="I54" s="34"/>
      <c r="J54" s="18"/>
      <c r="N54" s="12"/>
    </row>
    <row r="55" spans="4:14" ht="15.75">
      <c r="D55" s="247"/>
      <c r="E55" s="247"/>
      <c r="F55" s="17"/>
      <c r="G55" s="34"/>
      <c r="H55" s="34"/>
      <c r="I55" s="34"/>
      <c r="J55" s="18"/>
      <c r="K55" s="6"/>
      <c r="N55" s="12"/>
    </row>
    <row r="56" spans="4:11" ht="15.75">
      <c r="D56" s="247"/>
      <c r="E56" s="247"/>
      <c r="F56" s="17"/>
      <c r="G56" s="34"/>
      <c r="H56" s="34"/>
      <c r="I56" s="34"/>
      <c r="J56" s="18"/>
      <c r="K56" s="6"/>
    </row>
    <row r="57" spans="4:13" ht="15.75">
      <c r="D57" s="242"/>
      <c r="E57" s="242"/>
      <c r="F57" s="17"/>
      <c r="G57" s="34"/>
      <c r="H57" s="34"/>
      <c r="I57" s="34"/>
      <c r="J57" s="18"/>
      <c r="K57" s="6"/>
      <c r="M57" s="12"/>
    </row>
    <row r="58" spans="4:13" ht="15.75">
      <c r="D58" s="243"/>
      <c r="E58" s="243"/>
      <c r="F58" s="243"/>
      <c r="G58" s="243"/>
      <c r="H58" s="17"/>
      <c r="I58" s="17"/>
      <c r="J58" s="19"/>
      <c r="K58" s="6"/>
      <c r="M58" s="12"/>
    </row>
    <row r="59" spans="4:13" ht="12.75">
      <c r="D59" s="20"/>
      <c r="E59" s="5"/>
      <c r="F59" s="5"/>
      <c r="G59" s="5"/>
      <c r="H59" s="5"/>
      <c r="I59" s="5"/>
      <c r="J59" s="21"/>
      <c r="K59" s="6"/>
      <c r="M59" s="12"/>
    </row>
    <row r="60" spans="4:13" ht="12.75">
      <c r="D60" s="20"/>
      <c r="E60" s="5"/>
      <c r="F60" s="5"/>
      <c r="G60" s="35"/>
      <c r="H60" s="35"/>
      <c r="I60" s="35"/>
      <c r="J60" s="21"/>
      <c r="K60" s="6"/>
      <c r="M60" s="12"/>
    </row>
    <row r="61" spans="7:11" ht="12.75">
      <c r="G61" s="36"/>
      <c r="H61" s="36"/>
      <c r="I61" s="36"/>
      <c r="J61" s="22"/>
      <c r="K61" s="6"/>
    </row>
    <row r="62" spans="7:11" ht="12.75">
      <c r="G62" s="33"/>
      <c r="H62" s="33"/>
      <c r="I62" s="33"/>
      <c r="J62" s="22"/>
      <c r="K62" s="6"/>
    </row>
    <row r="63" ht="12.75">
      <c r="J63" s="22"/>
    </row>
    <row r="64" spans="4:10" ht="12.75">
      <c r="D64" s="24"/>
      <c r="J64" s="22"/>
    </row>
    <row r="65" ht="12.75">
      <c r="J65" s="22"/>
    </row>
    <row r="66" spans="7:10" ht="12.75">
      <c r="G66" s="37"/>
      <c r="H66" s="37"/>
      <c r="I66" s="37"/>
      <c r="J66" s="25"/>
    </row>
    <row r="67" spans="10:11" ht="12.75">
      <c r="J67" s="22"/>
      <c r="K67" s="23"/>
    </row>
    <row r="68" ht="12.75">
      <c r="K68" s="23"/>
    </row>
  </sheetData>
  <sheetProtection/>
  <mergeCells count="39">
    <mergeCell ref="D57:E57"/>
    <mergeCell ref="D58:G58"/>
    <mergeCell ref="G9:H9"/>
    <mergeCell ref="I9:J9"/>
    <mergeCell ref="A50:J50"/>
    <mergeCell ref="D52:J52"/>
    <mergeCell ref="D53:E53"/>
    <mergeCell ref="D54:E54"/>
    <mergeCell ref="D55:E55"/>
    <mergeCell ref="D56:E56"/>
    <mergeCell ref="I42:I43"/>
    <mergeCell ref="J42:J43"/>
    <mergeCell ref="A47:J47"/>
    <mergeCell ref="A48:J48"/>
    <mergeCell ref="A49:J49"/>
    <mergeCell ref="A42:D43"/>
    <mergeCell ref="E42:E43"/>
    <mergeCell ref="F42:F43"/>
    <mergeCell ref="G42:G43"/>
    <mergeCell ref="H42:H43"/>
    <mergeCell ref="E6:H6"/>
    <mergeCell ref="A7:J7"/>
    <mergeCell ref="A8:J8"/>
    <mergeCell ref="A9:A10"/>
    <mergeCell ref="B9:B10"/>
    <mergeCell ref="C9:C10"/>
    <mergeCell ref="D9:D10"/>
    <mergeCell ref="E9:E10"/>
    <mergeCell ref="F9:F10"/>
    <mergeCell ref="G13:I13"/>
    <mergeCell ref="G28:I28"/>
    <mergeCell ref="D1:J1"/>
    <mergeCell ref="D2:J2"/>
    <mergeCell ref="D3:D6"/>
    <mergeCell ref="E3:H3"/>
    <mergeCell ref="E4:H4"/>
    <mergeCell ref="I4:I6"/>
    <mergeCell ref="J4:J6"/>
    <mergeCell ref="E5:H5"/>
  </mergeCells>
  <conditionalFormatting sqref="B12:B25 B27:B41">
    <cfRule type="expression" priority="10" dxfId="0">
      <formula>LEN($B12)=1</formula>
    </cfRule>
  </conditionalFormatting>
  <conditionalFormatting sqref="B19">
    <cfRule type="expression" priority="8" dxfId="0">
      <formula>LEN($B19)=1</formula>
    </cfRule>
  </conditionalFormatting>
  <conditionalFormatting sqref="B19">
    <cfRule type="expression" priority="7" dxfId="0">
      <formula>LEN($B19)=1</formula>
    </cfRule>
  </conditionalFormatting>
  <conditionalFormatting sqref="B35">
    <cfRule type="expression" priority="2" dxfId="0">
      <formula>LEN($B35)=1</formula>
    </cfRule>
  </conditionalFormatting>
  <conditionalFormatting sqref="B35">
    <cfRule type="expression" priority="1" dxfId="0">
      <formula>LEN($B35)=1</formula>
    </cfRule>
  </conditionalFormatting>
  <printOptions horizontalCentered="1"/>
  <pageMargins left="0.2755905511811024" right="0.31496062992125984" top="0.5118110236220472" bottom="0.3937007874015748" header="0.5118110236220472" footer="0.5118110236220472"/>
  <pageSetup fitToHeight="0" fitToWidth="1" horizontalDpi="300" verticalDpi="30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view="pageBreakPreview" zoomScaleSheetLayoutView="100" zoomScalePageLayoutView="0" workbookViewId="0" topLeftCell="A1">
      <selection activeCell="D22" sqref="D22"/>
    </sheetView>
  </sheetViews>
  <sheetFormatPr defaultColWidth="9.140625" defaultRowHeight="12.75"/>
  <cols>
    <col min="1" max="1" width="9.8515625" style="27" customWidth="1"/>
    <col min="2" max="2" width="9.140625" style="27" customWidth="1"/>
    <col min="3" max="3" width="9.00390625" style="1" customWidth="1"/>
    <col min="4" max="4" width="63.28125" style="2" customWidth="1"/>
    <col min="5" max="5" width="4.7109375" style="14" customWidth="1"/>
    <col min="6" max="6" width="14.00390625" style="14" customWidth="1"/>
    <col min="7" max="7" width="12.421875" style="14" customWidth="1"/>
    <col min="8" max="8" width="11.8515625" style="3" customWidth="1"/>
    <col min="9" max="9" width="10.8515625" style="2" customWidth="1"/>
    <col min="10" max="11" width="9.140625" style="2" customWidth="1"/>
    <col min="12" max="12" width="7.7109375" style="2" customWidth="1"/>
    <col min="13" max="16384" width="9.140625" style="2" customWidth="1"/>
  </cols>
  <sheetData>
    <row r="1" spans="1:8" ht="25.5" customHeight="1">
      <c r="A1" s="46"/>
      <c r="B1" s="47"/>
      <c r="C1" s="48"/>
      <c r="D1" s="199" t="s">
        <v>124</v>
      </c>
      <c r="E1" s="200"/>
      <c r="F1" s="200"/>
      <c r="G1" s="200"/>
      <c r="H1" s="201"/>
    </row>
    <row r="2" spans="1:8" ht="25.5" customHeight="1">
      <c r="A2" s="49"/>
      <c r="B2" s="13"/>
      <c r="C2" s="50"/>
      <c r="D2" s="202" t="s">
        <v>125</v>
      </c>
      <c r="E2" s="203"/>
      <c r="F2" s="203"/>
      <c r="G2" s="203"/>
      <c r="H2" s="204"/>
    </row>
    <row r="3" spans="1:10" ht="12.75" customHeight="1">
      <c r="A3" s="49"/>
      <c r="B3" s="13"/>
      <c r="C3" s="50"/>
      <c r="D3" s="205" t="s">
        <v>123</v>
      </c>
      <c r="E3" s="208" t="s">
        <v>7</v>
      </c>
      <c r="F3" s="208"/>
      <c r="G3" s="208"/>
      <c r="H3" s="126"/>
      <c r="I3" s="40"/>
      <c r="J3" s="40"/>
    </row>
    <row r="4" spans="1:8" ht="12.75" customHeight="1">
      <c r="A4" s="49"/>
      <c r="B4" s="13"/>
      <c r="C4" s="50"/>
      <c r="D4" s="206"/>
      <c r="E4" s="209" t="s">
        <v>86</v>
      </c>
      <c r="F4" s="210"/>
      <c r="G4" s="211"/>
      <c r="H4" s="215"/>
    </row>
    <row r="5" spans="1:8" ht="12.75" customHeight="1">
      <c r="A5" s="49"/>
      <c r="B5" s="13"/>
      <c r="C5" s="50"/>
      <c r="D5" s="206"/>
      <c r="E5" s="209" t="s">
        <v>88</v>
      </c>
      <c r="F5" s="210"/>
      <c r="G5" s="211"/>
      <c r="H5" s="216"/>
    </row>
    <row r="6" spans="1:8" ht="12.75" customHeight="1">
      <c r="A6" s="51"/>
      <c r="B6" s="52"/>
      <c r="C6" s="53"/>
      <c r="D6" s="207"/>
      <c r="E6" s="218" t="s">
        <v>92</v>
      </c>
      <c r="F6" s="219"/>
      <c r="G6" s="220"/>
      <c r="H6" s="217"/>
    </row>
    <row r="7" spans="1:8" ht="12.75" customHeight="1">
      <c r="A7" s="221"/>
      <c r="B7" s="222"/>
      <c r="C7" s="222"/>
      <c r="D7" s="222"/>
      <c r="E7" s="222"/>
      <c r="F7" s="222"/>
      <c r="G7" s="222"/>
      <c r="H7" s="223"/>
    </row>
    <row r="8" spans="1:8" ht="25.5" customHeight="1">
      <c r="A8" s="224" t="s">
        <v>130</v>
      </c>
      <c r="B8" s="225"/>
      <c r="C8" s="225"/>
      <c r="D8" s="225"/>
      <c r="E8" s="225"/>
      <c r="F8" s="225"/>
      <c r="G8" s="225"/>
      <c r="H8" s="226"/>
    </row>
    <row r="9" spans="1:8" ht="12.75" customHeight="1">
      <c r="A9" s="227" t="s">
        <v>0</v>
      </c>
      <c r="B9" s="227" t="s">
        <v>4</v>
      </c>
      <c r="C9" s="227" t="s">
        <v>5</v>
      </c>
      <c r="D9" s="227" t="s">
        <v>1</v>
      </c>
      <c r="E9" s="227" t="s">
        <v>8</v>
      </c>
      <c r="F9" s="227" t="s">
        <v>97</v>
      </c>
      <c r="G9" s="248" t="s">
        <v>98</v>
      </c>
      <c r="H9" s="250" t="s">
        <v>11</v>
      </c>
    </row>
    <row r="10" spans="1:8" ht="12.75">
      <c r="A10" s="228"/>
      <c r="B10" s="228"/>
      <c r="C10" s="228"/>
      <c r="D10" s="228"/>
      <c r="E10" s="228"/>
      <c r="F10" s="228"/>
      <c r="G10" s="249"/>
      <c r="H10" s="251"/>
    </row>
    <row r="11" spans="1:9" s="39" customFormat="1" ht="27.75" customHeight="1">
      <c r="A11" s="42" t="s">
        <v>99</v>
      </c>
      <c r="B11" s="43"/>
      <c r="C11" s="44"/>
      <c r="D11" s="127" t="s">
        <v>169</v>
      </c>
      <c r="E11" s="42" t="s">
        <v>100</v>
      </c>
      <c r="F11" s="43"/>
      <c r="G11" s="55"/>
      <c r="H11" s="131">
        <f>SUM(H12:H17)</f>
        <v>1074.81</v>
      </c>
      <c r="I11" s="38"/>
    </row>
    <row r="12" spans="1:9" ht="12.75">
      <c r="A12" s="31" t="s">
        <v>3</v>
      </c>
      <c r="B12" s="56" t="s">
        <v>102</v>
      </c>
      <c r="C12" s="30" t="s">
        <v>85</v>
      </c>
      <c r="D12" s="54" t="s">
        <v>101</v>
      </c>
      <c r="E12" s="31"/>
      <c r="F12" s="128">
        <f>1/0.46643</f>
        <v>2.14394</v>
      </c>
      <c r="G12" s="129">
        <v>313.29</v>
      </c>
      <c r="H12" s="130">
        <f aca="true" t="shared" si="0" ref="H12:H17">F12*G12</f>
        <v>671.67</v>
      </c>
      <c r="I12" s="6"/>
    </row>
    <row r="13" spans="1:9" ht="12.75">
      <c r="A13" s="31" t="s">
        <v>18</v>
      </c>
      <c r="B13" s="56" t="s">
        <v>104</v>
      </c>
      <c r="C13" s="30" t="s">
        <v>85</v>
      </c>
      <c r="D13" s="54" t="s">
        <v>103</v>
      </c>
      <c r="E13" s="31" t="s">
        <v>111</v>
      </c>
      <c r="F13" s="128">
        <v>5.99082</v>
      </c>
      <c r="G13" s="129">
        <v>22.15</v>
      </c>
      <c r="H13" s="130">
        <f t="shared" si="0"/>
        <v>132.7</v>
      </c>
      <c r="I13" s="6"/>
    </row>
    <row r="14" spans="1:9" ht="12.75">
      <c r="A14" s="31" t="s">
        <v>82</v>
      </c>
      <c r="B14" s="56" t="s">
        <v>105</v>
      </c>
      <c r="C14" s="30" t="s">
        <v>85</v>
      </c>
      <c r="D14" s="54" t="s">
        <v>106</v>
      </c>
      <c r="E14" s="31" t="s">
        <v>111</v>
      </c>
      <c r="F14" s="128">
        <v>1.99082</v>
      </c>
      <c r="G14" s="129">
        <v>35.02</v>
      </c>
      <c r="H14" s="130">
        <f t="shared" si="0"/>
        <v>69.72</v>
      </c>
      <c r="I14" s="6"/>
    </row>
    <row r="15" spans="1:9" ht="38.25">
      <c r="A15" s="31" t="s">
        <v>83</v>
      </c>
      <c r="B15" s="116" t="s">
        <v>107</v>
      </c>
      <c r="C15" s="30" t="s">
        <v>85</v>
      </c>
      <c r="D15" s="54" t="s">
        <v>108</v>
      </c>
      <c r="E15" s="31" t="s">
        <v>112</v>
      </c>
      <c r="F15" s="128">
        <v>0.66667</v>
      </c>
      <c r="G15" s="129">
        <v>11.67</v>
      </c>
      <c r="H15" s="130">
        <f t="shared" si="0"/>
        <v>7.78</v>
      </c>
      <c r="I15" s="6"/>
    </row>
    <row r="16" spans="1:9" ht="25.5">
      <c r="A16" s="31" t="s">
        <v>84</v>
      </c>
      <c r="B16" s="116" t="s">
        <v>113</v>
      </c>
      <c r="C16" s="30" t="s">
        <v>85</v>
      </c>
      <c r="D16" s="54" t="s">
        <v>109</v>
      </c>
      <c r="E16" s="31" t="s">
        <v>114</v>
      </c>
      <c r="F16" s="128">
        <v>1.05</v>
      </c>
      <c r="G16" s="129">
        <v>182.36</v>
      </c>
      <c r="H16" s="130">
        <f t="shared" si="0"/>
        <v>191.48</v>
      </c>
      <c r="I16" s="6"/>
    </row>
    <row r="17" spans="1:9" ht="25.5">
      <c r="A17" s="31" t="s">
        <v>115</v>
      </c>
      <c r="B17" s="133">
        <v>3806428</v>
      </c>
      <c r="C17" s="30" t="s">
        <v>85</v>
      </c>
      <c r="D17" s="54" t="s">
        <v>110</v>
      </c>
      <c r="E17" s="31" t="s">
        <v>114</v>
      </c>
      <c r="F17" s="128">
        <v>0.03333</v>
      </c>
      <c r="G17" s="129">
        <v>43.88</v>
      </c>
      <c r="H17" s="130">
        <f t="shared" si="0"/>
        <v>1.46</v>
      </c>
      <c r="I17" s="6"/>
    </row>
    <row r="18" spans="1:9" ht="12.75" customHeight="1">
      <c r="A18" s="252"/>
      <c r="B18" s="252"/>
      <c r="C18" s="252"/>
      <c r="D18" s="252"/>
      <c r="E18" s="252"/>
      <c r="F18" s="252"/>
      <c r="G18" s="252"/>
      <c r="H18" s="252"/>
      <c r="I18" s="7"/>
    </row>
    <row r="19" spans="1:9" s="39" customFormat="1" ht="27.75" customHeight="1">
      <c r="A19" s="42" t="s">
        <v>116</v>
      </c>
      <c r="B19" s="43"/>
      <c r="C19" s="44"/>
      <c r="D19" s="127" t="s">
        <v>170</v>
      </c>
      <c r="E19" s="42" t="s">
        <v>100</v>
      </c>
      <c r="F19" s="43"/>
      <c r="G19" s="55"/>
      <c r="H19" s="131">
        <f>SUM(H20:H22)</f>
        <v>209.88</v>
      </c>
      <c r="I19" s="38"/>
    </row>
    <row r="20" spans="1:9" ht="12.75">
      <c r="A20" s="31" t="s">
        <v>117</v>
      </c>
      <c r="B20" s="56" t="s">
        <v>104</v>
      </c>
      <c r="C20" s="30" t="s">
        <v>85</v>
      </c>
      <c r="D20" s="54" t="s">
        <v>103</v>
      </c>
      <c r="E20" s="31" t="s">
        <v>111</v>
      </c>
      <c r="F20" s="128">
        <f>4/2.17</f>
        <v>1.84332</v>
      </c>
      <c r="G20" s="129">
        <v>22.15</v>
      </c>
      <c r="H20" s="130">
        <f>F20*G20</f>
        <v>40.83</v>
      </c>
      <c r="I20" s="6"/>
    </row>
    <row r="21" spans="1:9" ht="12.75">
      <c r="A21" s="31" t="s">
        <v>118</v>
      </c>
      <c r="B21" s="56" t="s">
        <v>105</v>
      </c>
      <c r="C21" s="30" t="s">
        <v>85</v>
      </c>
      <c r="D21" s="54" t="s">
        <v>106</v>
      </c>
      <c r="E21" s="31" t="s">
        <v>111</v>
      </c>
      <c r="F21" s="128">
        <f>2/2.17</f>
        <v>0.92166</v>
      </c>
      <c r="G21" s="129">
        <v>35.02</v>
      </c>
      <c r="H21" s="130">
        <f>F21*G21</f>
        <v>32.28</v>
      </c>
      <c r="I21" s="6"/>
    </row>
    <row r="22" spans="1:9" ht="25.5">
      <c r="A22" s="134" t="s">
        <v>119</v>
      </c>
      <c r="B22" s="116" t="s">
        <v>113</v>
      </c>
      <c r="C22" s="135" t="s">
        <v>85</v>
      </c>
      <c r="D22" s="136" t="s">
        <v>109</v>
      </c>
      <c r="E22" s="134" t="s">
        <v>114</v>
      </c>
      <c r="F22" s="137">
        <v>0.75</v>
      </c>
      <c r="G22" s="138">
        <v>182.36</v>
      </c>
      <c r="H22" s="139">
        <f>F22*G22</f>
        <v>136.77</v>
      </c>
      <c r="I22" s="6"/>
    </row>
    <row r="23" spans="1:9" ht="12.75" customHeight="1">
      <c r="A23" s="253"/>
      <c r="B23" s="253"/>
      <c r="C23" s="253"/>
      <c r="D23" s="253"/>
      <c r="E23" s="253"/>
      <c r="F23" s="253"/>
      <c r="G23" s="253"/>
      <c r="H23" s="253"/>
      <c r="I23" s="7"/>
    </row>
    <row r="24" spans="4:9" ht="12.75">
      <c r="D24" s="13"/>
      <c r="H24" s="15"/>
      <c r="I24" s="7"/>
    </row>
    <row r="25" spans="1:9" s="11" customFormat="1" ht="12.75" customHeight="1">
      <c r="A25" s="28"/>
      <c r="B25" s="28"/>
      <c r="C25" s="9"/>
      <c r="D25" s="13"/>
      <c r="E25" s="10"/>
      <c r="F25" s="41"/>
      <c r="G25" s="14"/>
      <c r="H25" s="132"/>
      <c r="I25" s="8"/>
    </row>
    <row r="26" spans="1:8" s="11" customFormat="1" ht="12.75" customHeight="1">
      <c r="A26" s="27"/>
      <c r="B26" s="27"/>
      <c r="C26" s="1"/>
      <c r="D26" s="13"/>
      <c r="E26" s="14"/>
      <c r="F26" s="29"/>
      <c r="G26" s="33"/>
      <c r="H26" s="16"/>
    </row>
    <row r="27" spans="1:11" ht="12.75">
      <c r="A27" s="232" t="s">
        <v>15</v>
      </c>
      <c r="B27" s="232"/>
      <c r="C27" s="232"/>
      <c r="D27" s="232"/>
      <c r="E27" s="232"/>
      <c r="F27" s="232"/>
      <c r="G27" s="232"/>
      <c r="H27" s="232"/>
      <c r="I27" s="3"/>
      <c r="J27" s="3"/>
      <c r="K27" s="12"/>
    </row>
    <row r="28" spans="1:8" ht="12.75">
      <c r="A28" s="233" t="s">
        <v>13</v>
      </c>
      <c r="B28" s="233"/>
      <c r="C28" s="233"/>
      <c r="D28" s="233"/>
      <c r="E28" s="233"/>
      <c r="F28" s="233"/>
      <c r="G28" s="233"/>
      <c r="H28" s="233"/>
    </row>
    <row r="29" spans="1:8" ht="12" customHeight="1">
      <c r="A29" s="234" t="s">
        <v>14</v>
      </c>
      <c r="B29" s="234"/>
      <c r="C29" s="234"/>
      <c r="D29" s="234"/>
      <c r="E29" s="234"/>
      <c r="F29" s="234"/>
      <c r="G29" s="234"/>
      <c r="H29" s="234"/>
    </row>
    <row r="30" spans="1:8" ht="12.75">
      <c r="A30" s="246" t="s">
        <v>16</v>
      </c>
      <c r="B30" s="246"/>
      <c r="C30" s="246"/>
      <c r="D30" s="246"/>
      <c r="E30" s="246"/>
      <c r="F30" s="246"/>
      <c r="G30" s="246"/>
      <c r="H30" s="246"/>
    </row>
    <row r="31" spans="4:8" ht="12.75">
      <c r="D31" s="13"/>
      <c r="F31" s="29"/>
      <c r="G31" s="33"/>
      <c r="H31" s="15"/>
    </row>
    <row r="32" spans="1:8" ht="15.75">
      <c r="A32" s="26"/>
      <c r="B32" s="26"/>
      <c r="C32" s="4"/>
      <c r="D32" s="243"/>
      <c r="E32" s="243"/>
      <c r="F32" s="243"/>
      <c r="G32" s="243"/>
      <c r="H32" s="243"/>
    </row>
    <row r="33" spans="1:8" ht="15.75">
      <c r="A33" s="26"/>
      <c r="B33" s="26"/>
      <c r="C33" s="4"/>
      <c r="D33" s="247"/>
      <c r="E33" s="247"/>
      <c r="F33" s="17"/>
      <c r="G33" s="34"/>
      <c r="H33" s="18"/>
    </row>
    <row r="34" spans="4:12" ht="15.75">
      <c r="D34" s="247"/>
      <c r="E34" s="247"/>
      <c r="F34" s="17"/>
      <c r="G34" s="34"/>
      <c r="H34" s="18"/>
      <c r="L34" s="12"/>
    </row>
    <row r="35" spans="4:12" ht="15.75">
      <c r="D35" s="247"/>
      <c r="E35" s="247"/>
      <c r="F35" s="17"/>
      <c r="G35" s="34"/>
      <c r="H35" s="18"/>
      <c r="I35" s="6"/>
      <c r="L35" s="12"/>
    </row>
    <row r="36" spans="4:9" ht="15.75">
      <c r="D36" s="247"/>
      <c r="E36" s="247"/>
      <c r="F36" s="17"/>
      <c r="G36" s="34"/>
      <c r="H36" s="18"/>
      <c r="I36" s="6"/>
    </row>
    <row r="37" spans="4:11" ht="15.75">
      <c r="D37" s="242"/>
      <c r="E37" s="242"/>
      <c r="F37" s="17"/>
      <c r="G37" s="34"/>
      <c r="H37" s="18"/>
      <c r="I37" s="6"/>
      <c r="K37" s="12"/>
    </row>
    <row r="38" spans="4:11" ht="15.75">
      <c r="D38" s="243"/>
      <c r="E38" s="243"/>
      <c r="F38" s="243"/>
      <c r="G38" s="17"/>
      <c r="H38" s="19"/>
      <c r="I38" s="6"/>
      <c r="K38" s="12"/>
    </row>
    <row r="39" spans="4:11" ht="12.75">
      <c r="D39" s="20"/>
      <c r="E39" s="5"/>
      <c r="F39" s="5"/>
      <c r="G39" s="5"/>
      <c r="H39" s="21"/>
      <c r="I39" s="6"/>
      <c r="K39" s="12"/>
    </row>
    <row r="40" spans="4:11" ht="12.75">
      <c r="D40" s="20"/>
      <c r="E40" s="5"/>
      <c r="F40" s="5"/>
      <c r="G40" s="35"/>
      <c r="H40" s="21"/>
      <c r="I40" s="6"/>
      <c r="K40" s="12"/>
    </row>
    <row r="41" spans="7:9" ht="12.75">
      <c r="G41" s="36"/>
      <c r="H41" s="22"/>
      <c r="I41" s="6"/>
    </row>
    <row r="42" spans="7:9" ht="12.75">
      <c r="G42" s="33"/>
      <c r="H42" s="22"/>
      <c r="I42" s="6"/>
    </row>
    <row r="43" ht="12.75">
      <c r="H43" s="22"/>
    </row>
    <row r="44" spans="4:8" ht="12.75">
      <c r="D44" s="24"/>
      <c r="H44" s="22"/>
    </row>
    <row r="45" ht="12.75">
      <c r="H45" s="22"/>
    </row>
    <row r="46" spans="7:8" ht="12.75">
      <c r="G46" s="37"/>
      <c r="H46" s="25"/>
    </row>
    <row r="47" spans="8:9" ht="12.75">
      <c r="H47" s="22"/>
      <c r="I47" s="23"/>
    </row>
    <row r="48" ht="12.75">
      <c r="I48" s="23"/>
    </row>
  </sheetData>
  <sheetProtection/>
  <mergeCells count="31">
    <mergeCell ref="A8:H8"/>
    <mergeCell ref="E9:E10"/>
    <mergeCell ref="F9:F10"/>
    <mergeCell ref="B9:B10"/>
    <mergeCell ref="C9:C10"/>
    <mergeCell ref="D36:E36"/>
    <mergeCell ref="D37:E37"/>
    <mergeCell ref="A7:H7"/>
    <mergeCell ref="A9:A10"/>
    <mergeCell ref="A29:H29"/>
    <mergeCell ref="A28:H28"/>
    <mergeCell ref="G9:G10"/>
    <mergeCell ref="H9:H10"/>
    <mergeCell ref="A18:H18"/>
    <mergeCell ref="A23:H23"/>
    <mergeCell ref="D38:F38"/>
    <mergeCell ref="D32:H32"/>
    <mergeCell ref="D33:E33"/>
    <mergeCell ref="D34:E34"/>
    <mergeCell ref="D35:E35"/>
    <mergeCell ref="D2:H2"/>
    <mergeCell ref="A30:H30"/>
    <mergeCell ref="A27:H27"/>
    <mergeCell ref="D9:D10"/>
    <mergeCell ref="E6:G6"/>
    <mergeCell ref="H4:H6"/>
    <mergeCell ref="D3:D6"/>
    <mergeCell ref="D1:H1"/>
    <mergeCell ref="E3:G3"/>
    <mergeCell ref="E4:G4"/>
    <mergeCell ref="E5:G5"/>
  </mergeCells>
  <conditionalFormatting sqref="B12:B17">
    <cfRule type="expression" priority="7" dxfId="0">
      <formula>LEN($B12)=1</formula>
    </cfRule>
  </conditionalFormatting>
  <conditionalFormatting sqref="B17">
    <cfRule type="expression" priority="5" dxfId="0">
      <formula>LEN($B17)=1</formula>
    </cfRule>
  </conditionalFormatting>
  <conditionalFormatting sqref="B17">
    <cfRule type="expression" priority="4" dxfId="0">
      <formula>LEN($B17)=1</formula>
    </cfRule>
  </conditionalFormatting>
  <conditionalFormatting sqref="B20:B21">
    <cfRule type="expression" priority="2" dxfId="0">
      <formula>LEN($B20)=1</formula>
    </cfRule>
  </conditionalFormatting>
  <conditionalFormatting sqref="B22">
    <cfRule type="expression" priority="1" dxfId="0">
      <formula>LEN($B22)=1</formula>
    </cfRule>
  </conditionalFormatting>
  <printOptions horizontalCentered="1"/>
  <pageMargins left="0.2755905511811024" right="0.31496062992125984" top="0.5118110236220472" bottom="0.3937007874015748" header="0.5118110236220472" footer="0.5118110236220472"/>
  <pageSetup fitToHeight="0" fitToWidth="1" horizontalDpi="300" verticalDpi="3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view="pageBreakPreview" zoomScaleSheetLayoutView="100" zoomScalePageLayoutView="0" workbookViewId="0" topLeftCell="A1">
      <selection activeCell="A2" sqref="A2:F3"/>
    </sheetView>
  </sheetViews>
  <sheetFormatPr defaultColWidth="9.140625" defaultRowHeight="12.75"/>
  <cols>
    <col min="1" max="1" width="6.140625" style="113" customWidth="1"/>
    <col min="2" max="2" width="55.00390625" style="0" customWidth="1"/>
    <col min="3" max="3" width="7.421875" style="0" customWidth="1"/>
    <col min="4" max="4" width="9.57421875" style="0" customWidth="1"/>
    <col min="5" max="5" width="25.00390625" style="0" customWidth="1"/>
    <col min="6" max="6" width="23.8515625" style="0" customWidth="1"/>
    <col min="7" max="7" width="13.28125" style="0" bestFit="1" customWidth="1"/>
  </cols>
  <sheetData>
    <row r="1" spans="1:6" ht="22.5" customHeight="1">
      <c r="A1" s="321" t="s">
        <v>124</v>
      </c>
      <c r="B1" s="322"/>
      <c r="C1" s="322"/>
      <c r="D1" s="322"/>
      <c r="E1" s="322"/>
      <c r="F1" s="323"/>
    </row>
    <row r="2" spans="1:6" ht="12.75">
      <c r="A2" s="254" t="s">
        <v>125</v>
      </c>
      <c r="B2" s="255"/>
      <c r="C2" s="255"/>
      <c r="D2" s="255"/>
      <c r="E2" s="255"/>
      <c r="F2" s="256"/>
    </row>
    <row r="3" spans="1:6" ht="12.75">
      <c r="A3" s="257"/>
      <c r="B3" s="258"/>
      <c r="C3" s="258"/>
      <c r="D3" s="258"/>
      <c r="E3" s="258"/>
      <c r="F3" s="259"/>
    </row>
    <row r="4" spans="1:6" ht="12.75">
      <c r="A4" s="260" t="s">
        <v>79</v>
      </c>
      <c r="B4" s="261"/>
      <c r="C4" s="261"/>
      <c r="D4" s="261"/>
      <c r="E4" s="261"/>
      <c r="F4" s="262"/>
    </row>
    <row r="5" spans="1:6" ht="12.75">
      <c r="A5" s="263"/>
      <c r="B5" s="264"/>
      <c r="C5" s="264"/>
      <c r="D5" s="264"/>
      <c r="E5" s="264"/>
      <c r="F5" s="265"/>
    </row>
    <row r="6" spans="1:6" ht="12.75">
      <c r="A6" s="266"/>
      <c r="B6" s="266"/>
      <c r="C6" s="266"/>
      <c r="D6" s="266"/>
      <c r="E6" s="266"/>
      <c r="F6" s="266"/>
    </row>
    <row r="7" spans="1:6" ht="36" customHeight="1">
      <c r="A7" s="267" t="s">
        <v>130</v>
      </c>
      <c r="B7" s="268"/>
      <c r="C7" s="268"/>
      <c r="D7" s="268"/>
      <c r="E7" s="268"/>
      <c r="F7" s="269"/>
    </row>
    <row r="8" spans="1:6" ht="12.75">
      <c r="A8" s="227" t="s">
        <v>0</v>
      </c>
      <c r="B8" s="227" t="s">
        <v>1</v>
      </c>
      <c r="C8" s="227" t="s">
        <v>8</v>
      </c>
      <c r="D8" s="227" t="s">
        <v>9</v>
      </c>
      <c r="E8" s="227" t="s">
        <v>80</v>
      </c>
      <c r="F8" s="227" t="s">
        <v>81</v>
      </c>
    </row>
    <row r="9" spans="1:6" ht="12.75">
      <c r="A9" s="228"/>
      <c r="B9" s="228"/>
      <c r="C9" s="228"/>
      <c r="D9" s="228"/>
      <c r="E9" s="228"/>
      <c r="F9" s="228"/>
    </row>
    <row r="10" spans="1:6" ht="19.5" customHeight="1">
      <c r="A10" s="42" t="s">
        <v>2</v>
      </c>
      <c r="B10" s="45" t="str">
        <f>_xlfn.IFERROR(VLOOKUP(A10,'Planilha Orçamentária'!$A:$H,4,FALSE),0)</f>
        <v>TUDO ARMCO DN250 - RIO VACARIAS</v>
      </c>
      <c r="C10" s="43"/>
      <c r="D10" s="43"/>
      <c r="E10" s="42"/>
      <c r="F10" s="42"/>
    </row>
    <row r="11" spans="1:7" ht="76.5">
      <c r="A11" s="143" t="s">
        <v>3</v>
      </c>
      <c r="B11" s="114" t="str">
        <f>_xlfn.IFERROR(VLOOKUP(A11,'Planilha Orçamentária'!$A:$H,4,FALSE),0)</f>
        <v>FORNECIMENTO E COLOCAÇÃO DE PLACA DE OBRA EM CHAPA GALVANIZADA #26, ESP. 0,45 MM, PLOTADA COM ADESIVO VINÍLICO, AFIXADA COM REBITES 4,8X40 MM, EM ESTRUTURA METÁLICA DE METALON 20X20 MM, ESP. 1,25 MM, INCLUSIVE SUPORTE EM EUCALIPTO AUTOCLAVADO PINTADO COM TINTA PVA DUAS (2) DEMÃOS</v>
      </c>
      <c r="C11" s="31" t="str">
        <f>_xlfn.IFERROR(VLOOKUP(A11,'Planilha Orçamentária'!$A:$H,5,FALSE),0)</f>
        <v>m2</v>
      </c>
      <c r="D11" s="32">
        <v>2.88</v>
      </c>
      <c r="E11" s="144" t="s">
        <v>192</v>
      </c>
      <c r="F11" s="121"/>
      <c r="G11" t="b">
        <f>D11='Planilha Orçamentária'!F12</f>
        <v>1</v>
      </c>
    </row>
    <row r="12" spans="1:7" ht="38.25">
      <c r="A12" s="143" t="s">
        <v>18</v>
      </c>
      <c r="B12" s="114" t="str">
        <f>_xlfn.IFERROR(VLOOKUP(A12,'Planilha Orçamentária'!$A:$H,4,FALSE),0)</f>
        <v>MOBILIZAÇÃO E DESMOBILIZAÇÃO OBRA DISTANTE DE CENTRO URBANO COM VALOR ATÉ O VALOR DE 1.000.000,00</v>
      </c>
      <c r="C12" s="31" t="str">
        <f>_xlfn.IFERROR(VLOOKUP(A12,'Planilha Orçamentária'!$A:$H,5,FALSE),0)</f>
        <v>%</v>
      </c>
      <c r="D12" s="32">
        <v>2</v>
      </c>
      <c r="E12" s="32">
        <v>2</v>
      </c>
      <c r="F12" s="121"/>
      <c r="G12" t="b">
        <f>D12='Planilha Orçamentária'!F13</f>
        <v>1</v>
      </c>
    </row>
    <row r="13" spans="1:7" ht="25.5">
      <c r="A13" s="143" t="s">
        <v>82</v>
      </c>
      <c r="B13" s="114" t="str">
        <f>_xlfn.IFERROR(VLOOKUP(A13,'Planilha Orçamentária'!$A:$H,4,FALSE),0)</f>
        <v>ADMINISTRAÇÃO LOCAL 10,68% DO VALOR TOTAL DA OBRA</v>
      </c>
      <c r="C13" s="31" t="str">
        <f>_xlfn.IFERROR(VLOOKUP(A13,'Planilha Orçamentária'!$A:$H,5,FALSE),0)</f>
        <v>%</v>
      </c>
      <c r="D13" s="32">
        <v>100</v>
      </c>
      <c r="E13" s="32">
        <v>100</v>
      </c>
      <c r="F13" s="121"/>
      <c r="G13" t="b">
        <f>D13='Planilha Orçamentária'!F14</f>
        <v>1</v>
      </c>
    </row>
    <row r="14" spans="1:7" ht="38.25">
      <c r="A14" s="143" t="s">
        <v>83</v>
      </c>
      <c r="B14" s="114" t="str">
        <f>_xlfn.IFERROR(VLOOKUP(A14,'Planilha Orçamentária'!$A:$H,4,FALSE),0)</f>
        <v>LIMPEZA DE TERRENO, INCLUSIVE CAPINA, RASTELAMENTO COM AFASTAMENTO ATÉ VINTE (20) METROS E QUEIMA CONTROLADA</v>
      </c>
      <c r="C14" s="31" t="str">
        <f>_xlfn.IFERROR(VLOOKUP(A14,'Planilha Orçamentária'!$A:$H,5,FALSE),0)</f>
        <v>m2</v>
      </c>
      <c r="D14" s="32">
        <f>9.68*13.19</f>
        <v>127.68</v>
      </c>
      <c r="E14" s="144" t="s">
        <v>197</v>
      </c>
      <c r="F14" s="121" t="s">
        <v>141</v>
      </c>
      <c r="G14" t="b">
        <f>D14='Planilha Orçamentária'!F15</f>
        <v>1</v>
      </c>
    </row>
    <row r="15" spans="1:7" ht="76.5">
      <c r="A15" s="143" t="s">
        <v>84</v>
      </c>
      <c r="B15" s="114" t="str">
        <f>_xlfn.IFERROR(VLOOKUP(A15,'Planilha Orçamentária'!$A:$H,4,FALSE),0)</f>
        <v>ESCAVAÇÃO MECANIZADA DE VALA COM PROF. MAIOR QUE 1,5 M ATÉ 3,0 M (MÉDIA MONTANTE E JUSANTE/UMA COMPOSIÇÃO POR TRECHO), RETROESCAV. (0,26 M3), LARG. MENOR QUE 0,8 M, EM SOLO DE 1A CATEGORIA, EM LOCAIS COM ALTO NÍVEL DE INTERFERÊNCIA. AF_02/2021 </v>
      </c>
      <c r="C15" s="31" t="str">
        <f>_xlfn.IFERROR(VLOOKUP(A15,'Planilha Orçamentária'!$A:$H,5,FALSE),0)</f>
        <v>M3</v>
      </c>
      <c r="D15" s="32">
        <f>3.5*9.9*7</f>
        <v>242.55</v>
      </c>
      <c r="E15" s="32" t="s">
        <v>137</v>
      </c>
      <c r="F15" s="121" t="s">
        <v>141</v>
      </c>
      <c r="G15" t="b">
        <f>D15='Planilha Orçamentária'!F16</f>
        <v>1</v>
      </c>
    </row>
    <row r="16" spans="1:7" ht="38.25">
      <c r="A16" s="143" t="s">
        <v>115</v>
      </c>
      <c r="B16" s="114" t="str">
        <f>_xlfn.IFERROR(VLOOKUP(A16,'Planilha Orçamentária'!$A:$H,4,FALSE),0)</f>
        <v>EXECUÇÃO DE PISO DE CONCRETO (BERÇO) COM CONCRETO MOLDADO IN LOCO, FEITO EM OBRA, ACABAMENTO CONVENCIONAL, NÃO ARMADO</v>
      </c>
      <c r="C16" s="31" t="str">
        <f>_xlfn.IFERROR(VLOOKUP(A16,'Planilha Orçamentária'!$A:$H,5,FALSE),0)</f>
        <v>M3</v>
      </c>
      <c r="D16" s="32">
        <f>9.9*8*0.2</f>
        <v>15.84</v>
      </c>
      <c r="E16" s="32" t="s">
        <v>138</v>
      </c>
      <c r="F16" s="121" t="s">
        <v>141</v>
      </c>
      <c r="G16" t="b">
        <f>D16='Planilha Orçamentária'!F17</f>
        <v>1</v>
      </c>
    </row>
    <row r="17" spans="1:7" ht="25.5">
      <c r="A17" s="143" t="s">
        <v>151</v>
      </c>
      <c r="B17" s="114" t="str">
        <f>_xlfn.IFERROR(VLOOKUP(A17,'Planilha Orçamentária'!$A:$H,4,FALSE),0)</f>
        <v>Bueiro metálico com chapas múltiplas MP 100 galvanizadas - D = 2,50 m - brita comercial - somente instalação</v>
      </c>
      <c r="C17" s="31" t="str">
        <f>_xlfn.IFERROR(VLOOKUP(A17,'Planilha Orçamentária'!$A:$H,5,FALSE),0)</f>
        <v>m</v>
      </c>
      <c r="D17" s="32">
        <f>6*3</f>
        <v>18</v>
      </c>
      <c r="E17" s="32" t="s">
        <v>139</v>
      </c>
      <c r="F17" s="121" t="s">
        <v>141</v>
      </c>
      <c r="G17" t="b">
        <f>D17='Planilha Orçamentária'!F18</f>
        <v>1</v>
      </c>
    </row>
    <row r="18" spans="1:7" ht="63.75">
      <c r="A18" s="143" t="s">
        <v>152</v>
      </c>
      <c r="B18" s="114" t="str">
        <f>_xlfn.IFERROR(VLOOKUP(A18,'Planilha Orçamentária'!$A:$H,4,FALSE),0)</f>
        <v>ALVENARIA DE BLOCO DE CONCRETO CHEIO COM ARMAÇÃO, EM CONCRETO COM FCK 15MPA , ESP. 19CM, PARA REVESTIMENTO, INCLUSIVE ARGAMASSA PARA ASSENTAMENTO (DETALHE D - CADERNO SEDS) (BOCA DE BUEIRO)</v>
      </c>
      <c r="C18" s="31" t="str">
        <f>_xlfn.IFERROR(VLOOKUP(A18,'Planilha Orçamentária'!$A:$H,5,FALSE),0)</f>
        <v>m2</v>
      </c>
      <c r="D18" s="32">
        <f>2*((9.9*3.3)-(3*PI()*(1.25^2))+(2*1.8*0.8)+(2*((1.8*2.5)/2)))</f>
        <v>50.65</v>
      </c>
      <c r="E18" s="145" t="s">
        <v>140</v>
      </c>
      <c r="F18" s="121" t="s">
        <v>141</v>
      </c>
      <c r="G18" t="b">
        <f>D18='Planilha Orçamentária'!F19</f>
        <v>1</v>
      </c>
    </row>
    <row r="19" spans="1:7" ht="38.25">
      <c r="A19" s="143" t="s">
        <v>175</v>
      </c>
      <c r="B19" s="114" t="str">
        <f>_xlfn.IFERROR(VLOOKUP(A19,'Planilha Orçamentária'!$A:$H,4,FALSE),0)</f>
        <v>EXECUÇÃO E COMPACTAÇÃO DE ATERRO COM SOLO PREDOMINANTEMENTE ARGILOSO - EXCLUSIVE SOLO, ESCAVAÇÃO, CARGA E TRANSPORTE. AF_11/2019</v>
      </c>
      <c r="C19" s="31" t="str">
        <f>_xlfn.IFERROR(VLOOKUP(A19,'Planilha Orçamentária'!$A:$H,5,FALSE),0)</f>
        <v>m3</v>
      </c>
      <c r="D19" s="32">
        <f>(3.3*9.9*6.4)-(3*PI()*(1.25^2))</f>
        <v>194.36</v>
      </c>
      <c r="E19" s="144" t="s">
        <v>161</v>
      </c>
      <c r="F19" s="121" t="s">
        <v>141</v>
      </c>
      <c r="G19" t="b">
        <f>D19='Planilha Orçamentária'!F20</f>
        <v>1</v>
      </c>
    </row>
    <row r="20" spans="1:7" ht="63.75">
      <c r="A20" s="143" t="s">
        <v>176</v>
      </c>
      <c r="B20" s="114" t="str">
        <f>_xlfn.IFERROR(VLOOKUP(A20,'Planilha Orçamentária'!$A:$H,4,FALSE),0)</f>
        <v>ALVENARIA DE BLOCO DE CONCRETO CHEIO COM ARMAÇÃO, EM CONCRETO COM FCK 15MPA , ESP. 9CM, PARA REVESTIMENTO, INCLUSIVE ARGAMASSA PARA ASSENTAMENTO (DETALHE D - CADERNO SEDS) (GUARDA-CORPO)</v>
      </c>
      <c r="C20" s="31" t="str">
        <f>_xlfn.IFERROR(VLOOKUP(A20,'Planilha Orçamentária'!$A:$H,5,FALSE),0)</f>
        <v>m2</v>
      </c>
      <c r="D20" s="32">
        <f>2*9.9*0.9</f>
        <v>17.82</v>
      </c>
      <c r="E20" s="144" t="s">
        <v>162</v>
      </c>
      <c r="F20" s="121" t="s">
        <v>141</v>
      </c>
      <c r="G20" t="b">
        <f>D20='Planilha Orçamentária'!F21</f>
        <v>1</v>
      </c>
    </row>
    <row r="21" spans="1:7" ht="38.25">
      <c r="A21" s="143" t="s">
        <v>177</v>
      </c>
      <c r="B21" s="114" t="str">
        <f>_xlfn.IFERROR(VLOOKUP(A21,'Planilha Orçamentária'!$A:$H,4,FALSE),0)</f>
        <v>LASTRO DE CONCRETO MAGRO, INCLUSIVE TRANSPORTE,
LANÇAMENTO E ADENSAMENTO (GUARDA-RODA)</v>
      </c>
      <c r="C21" s="31" t="str">
        <f>_xlfn.IFERROR(VLOOKUP(A21,'Planilha Orçamentária'!$A:$H,5,FALSE),0)</f>
        <v>m3</v>
      </c>
      <c r="D21" s="32">
        <f>9.9*0.2*0.2</f>
        <v>0.4</v>
      </c>
      <c r="E21" s="144" t="s">
        <v>163</v>
      </c>
      <c r="F21" s="121" t="s">
        <v>141</v>
      </c>
      <c r="G21" t="b">
        <f>D21='Planilha Orçamentária'!F22</f>
        <v>1</v>
      </c>
    </row>
    <row r="22" spans="1:7" ht="38.25">
      <c r="A22" s="143" t="s">
        <v>178</v>
      </c>
      <c r="B22" s="114" t="str">
        <f>_xlfn.IFERROR(VLOOKUP(A22,'Planilha Orçamentária'!$A:$H,4,FALSE),0)</f>
        <v>FÔRMA E DESFORMA DE TÁBUA E SARRAFO,
REAPROVEITAMENTO (3X), EXCLUSIVE ESCORAMENTO (GUARDA-RODA)</v>
      </c>
      <c r="C22" s="31" t="str">
        <f>_xlfn.IFERROR(VLOOKUP(A22,'Planilha Orçamentária'!$A:$H,5,FALSE),0)</f>
        <v>m2</v>
      </c>
      <c r="D22" s="32">
        <f>9.9*0.3</f>
        <v>2.97</v>
      </c>
      <c r="E22" s="144" t="s">
        <v>164</v>
      </c>
      <c r="F22" s="121" t="s">
        <v>141</v>
      </c>
      <c r="G22" t="b">
        <f>D22='Planilha Orçamentária'!F23</f>
        <v>1</v>
      </c>
    </row>
    <row r="23" spans="1:7" ht="63.75">
      <c r="A23" s="143" t="s">
        <v>196</v>
      </c>
      <c r="B23" s="114" t="str">
        <f>_xlfn.IFERROR(VLOOKUP(A23,'Planilha Orçamentária'!$A:$H,4,FALSE),0)</f>
        <v>PISO EM CONCRETO, USINADO CONVENCIONAL, FCK 30MPA, COM AÇO CA-50 DIÂMETRO 6,3MM MALHA 10X10CM, ACABAMENTO RÚSTICO, ESP. 15CM, INCLUSIVE FORNECIMENTO, LANÇAMENTO, ADENSAMENTO, EXCLUSIVE JUNTA DE DILATAÇÃO (PAVIMENTO)</v>
      </c>
      <c r="C23" s="31" t="str">
        <f>_xlfn.IFERROR(VLOOKUP(A23,'Planilha Orçamentária'!$A:$H,5,FALSE),0)</f>
        <v>m2</v>
      </c>
      <c r="D23" s="32">
        <f>9.9*6.4</f>
        <v>63.36</v>
      </c>
      <c r="E23" s="144" t="s">
        <v>204</v>
      </c>
      <c r="F23" s="121" t="s">
        <v>141</v>
      </c>
      <c r="G23" t="b">
        <f>D23='Planilha Orçamentária'!F24</f>
        <v>1</v>
      </c>
    </row>
    <row r="24" spans="1:7" ht="38.25">
      <c r="A24" s="143" t="s">
        <v>200</v>
      </c>
      <c r="B24" s="114" t="str">
        <f>_xlfn.IFERROR(VLOOKUP(A24,'Planilha Orçamentária'!$A:$H,4,FALSE),0)</f>
        <v>Placa de regulamentação para sinalização de obras montada em suporte metálico móvel, R1 lado 0,414 m - utilização de 600 ciclos - fornecimento, 01 implantação e 01 retirada diária</v>
      </c>
      <c r="C24" s="31" t="str">
        <f>_xlfn.IFERROR(VLOOKUP(A24,'Planilha Orçamentária'!$A:$H,5,FALSE),0)</f>
        <v>un.dia</v>
      </c>
      <c r="D24" s="32">
        <f>2*30</f>
        <v>60</v>
      </c>
      <c r="E24" s="144" t="s">
        <v>203</v>
      </c>
      <c r="F24" s="121" t="s">
        <v>141</v>
      </c>
      <c r="G24" t="b">
        <f>D24='Planilha Orçamentária'!F25</f>
        <v>1</v>
      </c>
    </row>
    <row r="25" spans="1:7" ht="19.5" customHeight="1">
      <c r="A25" s="141" t="s">
        <v>127</v>
      </c>
      <c r="B25" s="45" t="str">
        <f>_xlfn.IFERROR(VLOOKUP(A25,'Planilha Orçamentária'!$A:$H,4,FALSE),0)</f>
        <v>TUDO ARMCO DN150 - RIO DOS BOIS</v>
      </c>
      <c r="C25" s="43"/>
      <c r="D25" s="43"/>
      <c r="E25" s="42"/>
      <c r="F25" s="42"/>
      <c r="G25" t="b">
        <f>D25='Planilha Orçamentária'!F26</f>
        <v>1</v>
      </c>
    </row>
    <row r="26" spans="1:7" ht="76.5">
      <c r="A26" s="143" t="s">
        <v>117</v>
      </c>
      <c r="B26" s="114" t="str">
        <f>_xlfn.IFERROR(VLOOKUP(A26,'Planilha Orçamentária'!$A:$H,4,FALSE),0)</f>
        <v>FORNECIMENTO E COLOCAÇÃO DE PLACA DE OBRA EM CHAPA GALVANIZADA #26, ESP. 0,45 MM, PLOTADA COM ADESIVO VINÍLICO, AFIXADA COM REBITES 4,8X40 MM, EM ESTRUTURA METÁLICA DE METALON 20X20 MM, ESP. 1,25 MM, INCLUSIVE SUPORTE EM EUCALIPTO AUTOCLAVADO PINTADO COM TINTA PVA DUAS (2) DEMÃOS</v>
      </c>
      <c r="C26" s="31" t="str">
        <f>_xlfn.IFERROR(VLOOKUP(A26,'Planilha Orçamentária'!$A:$H,5,FALSE),0)</f>
        <v>m2</v>
      </c>
      <c r="D26" s="32">
        <v>2.88</v>
      </c>
      <c r="E26" s="144" t="s">
        <v>192</v>
      </c>
      <c r="F26" s="121"/>
      <c r="G26" t="b">
        <f>D26='Planilha Orçamentária'!F27</f>
        <v>1</v>
      </c>
    </row>
    <row r="27" spans="1:7" ht="38.25">
      <c r="A27" s="143" t="s">
        <v>118</v>
      </c>
      <c r="B27" s="114" t="str">
        <f>_xlfn.IFERROR(VLOOKUP(A27,'Planilha Orçamentária'!$A:$H,4,FALSE),0)</f>
        <v>MOBILIZAÇÃO E DESMOBILIZAÇÃO OBRA DISTANTE DE CENTRO URBANO COM VALOR ATÉ O VALOR DE 1.000.000,00</v>
      </c>
      <c r="C27" s="31" t="str">
        <f>_xlfn.IFERROR(VLOOKUP(A27,'Planilha Orçamentária'!$A:$H,5,FALSE),0)</f>
        <v>%</v>
      </c>
      <c r="D27" s="32">
        <v>2</v>
      </c>
      <c r="E27" s="144"/>
      <c r="F27" s="121"/>
      <c r="G27" t="b">
        <f>D27='Planilha Orçamentária'!F28</f>
        <v>1</v>
      </c>
    </row>
    <row r="28" spans="1:7" ht="25.5">
      <c r="A28" s="143" t="s">
        <v>119</v>
      </c>
      <c r="B28" s="114" t="str">
        <f>_xlfn.IFERROR(VLOOKUP(A28,'Planilha Orçamentária'!$A:$H,4,FALSE),0)</f>
        <v>ADMINISTRAÇÃO LOCAL 10,68% DO VALOR TOTAL DA OBRA</v>
      </c>
      <c r="C28" s="31" t="str">
        <f>_xlfn.IFERROR(VLOOKUP(A28,'Planilha Orçamentária'!$A:$H,5,FALSE),0)</f>
        <v>%</v>
      </c>
      <c r="D28" s="32">
        <v>100</v>
      </c>
      <c r="E28" s="144">
        <v>100</v>
      </c>
      <c r="F28" s="121"/>
      <c r="G28" t="b">
        <f>D28='Planilha Orçamentária'!F29</f>
        <v>1</v>
      </c>
    </row>
    <row r="29" spans="1:7" ht="38.25">
      <c r="A29" s="143" t="s">
        <v>120</v>
      </c>
      <c r="B29" s="114" t="str">
        <f>_xlfn.IFERROR(VLOOKUP(A29,'Planilha Orçamentária'!$A:$H,4,FALSE),0)</f>
        <v>LIMPEZA DE TERRENO, INCLUSIVE CAPINA, RASTELAMENTO COM AFASTAMENTO ATÉ VINTE (20) METROS E QUEIMA CONTROLADA</v>
      </c>
      <c r="C29" s="31" t="str">
        <f>_xlfn.IFERROR(VLOOKUP(A29,'Planilha Orçamentária'!$A:$H,5,FALSE),0)</f>
        <v>m2</v>
      </c>
      <c r="D29" s="32">
        <f>9.68*10.19</f>
        <v>98.64</v>
      </c>
      <c r="E29" s="144" t="s">
        <v>194</v>
      </c>
      <c r="F29" s="121" t="s">
        <v>141</v>
      </c>
      <c r="G29" t="b">
        <f>D29='Planilha Orçamentária'!F30</f>
        <v>1</v>
      </c>
    </row>
    <row r="30" spans="1:7" ht="38.25">
      <c r="A30" s="143" t="s">
        <v>121</v>
      </c>
      <c r="B30" s="114" t="str">
        <f>_xlfn.IFERROR(VLOOKUP(A30,'Planilha Orçamentária'!$A:$H,4,FALSE),0)</f>
        <v>REMOÇÃO DE PISO DE MADEIRA (ASSOALHO E BARROTE), DE FORMA MANUAL, SEM REAPROVEITAMENTO. AF_09/2023</v>
      </c>
      <c r="C30" s="31" t="str">
        <f>_xlfn.IFERROR(VLOOKUP(A30,'Planilha Orçamentária'!$A:$H,5,FALSE),0)</f>
        <v>M2</v>
      </c>
      <c r="D30" s="32">
        <f>6*6.9</f>
        <v>41.4</v>
      </c>
      <c r="E30" s="144" t="s">
        <v>195</v>
      </c>
      <c r="F30" s="121" t="s">
        <v>141</v>
      </c>
      <c r="G30" t="b">
        <f>D30='Planilha Orçamentária'!F31</f>
        <v>1</v>
      </c>
    </row>
    <row r="31" spans="1:7" ht="76.5">
      <c r="A31" s="143" t="s">
        <v>122</v>
      </c>
      <c r="B31" s="114" t="str">
        <f>_xlfn.IFERROR(VLOOKUP(A31,'Planilha Orçamentária'!$A:$H,4,FALSE),0)</f>
        <v>ESCAVAÇÃO MECANIZADA DE VALA COM PROF. MAIOR QUE 1,5 M ATÉ 3,0 M (MÉDIA MONTANTE E JUSANTE/UMA COMPOSIÇÃO POR TRECHO), RETROESCAV. (0,26 M3), LARG. MENOR QUE 0,8 M, EM SOLO DE 1A CATEGORIA, EM LOCAIS COM ALTO NÍVEL DE INTERFERÊNCIA. AF_02/2021 </v>
      </c>
      <c r="C31" s="31" t="str">
        <f>_xlfn.IFERROR(VLOOKUP(A31,'Planilha Orçamentária'!$A:$H,5,FALSE),0)</f>
        <v>M3</v>
      </c>
      <c r="D31" s="32">
        <f>2.5*6.9*7</f>
        <v>120.75</v>
      </c>
      <c r="E31" s="144" t="s">
        <v>142</v>
      </c>
      <c r="F31" s="121" t="s">
        <v>141</v>
      </c>
      <c r="G31" t="b">
        <f>D31='Planilha Orçamentária'!F32</f>
        <v>1</v>
      </c>
    </row>
    <row r="32" spans="1:7" ht="38.25">
      <c r="A32" s="143" t="s">
        <v>133</v>
      </c>
      <c r="B32" s="114" t="str">
        <f>_xlfn.IFERROR(VLOOKUP(A32,'Planilha Orçamentária'!$A:$H,4,FALSE),0)</f>
        <v>EXECUÇÃO DE PISO DE CONCRETO (BERÇO) COM CONCRETO MOLDADO IN LOCO, FEITO EM OBRA, ACABAMENTO CONVENCIONAL, NÃO ARMADO</v>
      </c>
      <c r="C32" s="31" t="str">
        <f>_xlfn.IFERROR(VLOOKUP(A32,'Planilha Orçamentária'!$A:$H,5,FALSE),0)</f>
        <v>M3</v>
      </c>
      <c r="D32" s="32">
        <f>6.9*8*0.2</f>
        <v>11.04</v>
      </c>
      <c r="E32" s="144" t="s">
        <v>143</v>
      </c>
      <c r="F32" s="121" t="s">
        <v>141</v>
      </c>
      <c r="G32" t="b">
        <f>D32='Planilha Orçamentária'!F33</f>
        <v>1</v>
      </c>
    </row>
    <row r="33" spans="1:7" ht="25.5">
      <c r="A33" s="143" t="s">
        <v>134</v>
      </c>
      <c r="B33" s="114" t="str">
        <f>_xlfn.IFERROR(VLOOKUP(A33,'Planilha Orçamentária'!$A:$H,4,FALSE),0)</f>
        <v>Bueiro metálico com chapas múltiplas MP 100 galvanizadas - D = 1,50 m - brita comercial - somente instalação</v>
      </c>
      <c r="C33" s="31" t="str">
        <f>_xlfn.IFERROR(VLOOKUP(A33,'Planilha Orçamentária'!$A:$H,5,FALSE),0)</f>
        <v>m</v>
      </c>
      <c r="D33" s="32">
        <f>6*3</f>
        <v>18</v>
      </c>
      <c r="E33" s="144" t="s">
        <v>139</v>
      </c>
      <c r="F33" s="121" t="s">
        <v>141</v>
      </c>
      <c r="G33" t="b">
        <f>D33='Planilha Orçamentária'!F34</f>
        <v>1</v>
      </c>
    </row>
    <row r="34" spans="1:7" ht="63.75">
      <c r="A34" s="143" t="s">
        <v>180</v>
      </c>
      <c r="B34" s="114" t="str">
        <f>_xlfn.IFERROR(VLOOKUP(A34,'Planilha Orçamentária'!$A:$H,4,FALSE),0)</f>
        <v>ALVENARIA DE BLOCO DE CONCRETO CHEIO COM ARMAÇÃO, EM CONCRETO COM FCK 15MPA , ESP. 19CM, PARA REVESTIMENTO, INCLUSIVE ARGAMASSA PARA ASSENTAMENTO (DETALHE D - CADERNO SEDS) (BOCA DE BUEIRO)</v>
      </c>
      <c r="C34" s="31" t="str">
        <f>_xlfn.IFERROR(VLOOKUP(A34,'Planilha Orçamentária'!$A:$H,5,FALSE),0)</f>
        <v>m2</v>
      </c>
      <c r="D34" s="32">
        <f>2*((6.9*2.3)-(3*PI()*(0.75^2))+(2*1.8*0.8)+(2*((1.8*1.5)/2)))</f>
        <v>32.3</v>
      </c>
      <c r="E34" s="145" t="s">
        <v>144</v>
      </c>
      <c r="F34" s="121" t="s">
        <v>141</v>
      </c>
      <c r="G34" t="b">
        <f>D34='Planilha Orçamentária'!F35</f>
        <v>1</v>
      </c>
    </row>
    <row r="35" spans="1:7" ht="38.25">
      <c r="A35" s="143" t="s">
        <v>181</v>
      </c>
      <c r="B35" s="114" t="str">
        <f>_xlfn.IFERROR(VLOOKUP(A35,'Planilha Orçamentária'!$A:$H,4,FALSE),0)</f>
        <v>EXECUÇÃO E COMPACTAÇÃO DE ATERRO COM SOLO PREDOMINANTEMENTE ARGILOSO - EXCLUSIVE SOLO, ESCAVAÇÃO, CARGA E TRANSPORTE. AF_11/2019</v>
      </c>
      <c r="C35" s="31" t="str">
        <f>_xlfn.IFERROR(VLOOKUP(A35,'Planilha Orçamentária'!$A:$H,5,FALSE),0)</f>
        <v>m3</v>
      </c>
      <c r="D35" s="32">
        <f>(2.3*6.9*6.4)-(3*PI()*(0.75^2))</f>
        <v>96.27</v>
      </c>
      <c r="E35" s="144" t="s">
        <v>165</v>
      </c>
      <c r="F35" s="121" t="s">
        <v>141</v>
      </c>
      <c r="G35" t="b">
        <f>D35='Planilha Orçamentária'!F36</f>
        <v>1</v>
      </c>
    </row>
    <row r="36" spans="1:7" ht="63.75">
      <c r="A36" s="143" t="s">
        <v>182</v>
      </c>
      <c r="B36" s="114" t="str">
        <f>_xlfn.IFERROR(VLOOKUP(A36,'Planilha Orçamentária'!$A:$H,4,FALSE),0)</f>
        <v>ALVENARIA DE BLOCO DE CONCRETO CHEIO COM ARMAÇÃO, EM CONCRETO COM FCK 15MPA , ESP. 9CM, PARA REVESTIMENTO, INCLUSIVE ARGAMASSA PARA ASSENTAMENTO (DETALHE D - CADERNO SEDS) (GUARDA-CORPO)</v>
      </c>
      <c r="C36" s="31" t="str">
        <f>_xlfn.IFERROR(VLOOKUP(A36,'Planilha Orçamentária'!$A:$H,5,FALSE),0)</f>
        <v>m2</v>
      </c>
      <c r="D36" s="32">
        <f>2*6.9*0.9</f>
        <v>12.42</v>
      </c>
      <c r="E36" s="144" t="s">
        <v>166</v>
      </c>
      <c r="F36" s="121" t="s">
        <v>141</v>
      </c>
      <c r="G36" t="b">
        <f>D36='Planilha Orçamentária'!F37</f>
        <v>1</v>
      </c>
    </row>
    <row r="37" spans="1:7" ht="38.25">
      <c r="A37" s="143" t="s">
        <v>183</v>
      </c>
      <c r="B37" s="114" t="str">
        <f>_xlfn.IFERROR(VLOOKUP(A37,'Planilha Orçamentária'!$A:$H,4,FALSE),0)</f>
        <v>LASTRO DE CONCRETO MAGRO, INCLUSIVE TRANSPORTE,
LANÇAMENTO E ADENSAMENTO (GUARDA-RODA)</v>
      </c>
      <c r="C37" s="31" t="str">
        <f>_xlfn.IFERROR(VLOOKUP(A37,'Planilha Orçamentária'!$A:$H,5,FALSE),0)</f>
        <v>m3</v>
      </c>
      <c r="D37" s="32">
        <f>6.9*0.2*0.2</f>
        <v>0.28</v>
      </c>
      <c r="E37" s="144" t="s">
        <v>167</v>
      </c>
      <c r="F37" s="121" t="s">
        <v>141</v>
      </c>
      <c r="G37" t="b">
        <f>D37='Planilha Orçamentária'!F38</f>
        <v>1</v>
      </c>
    </row>
    <row r="38" spans="1:7" ht="38.25">
      <c r="A38" s="143" t="s">
        <v>189</v>
      </c>
      <c r="B38" s="114" t="str">
        <f>_xlfn.IFERROR(VLOOKUP(A38,'Planilha Orçamentária'!$A:$H,4,FALSE),0)</f>
        <v>FÔRMA E DESFORMA DE TÁBUA E SARRAFO,
REAPROVEITAMENTO (3X), EXCLUSIVE ESCORAMENTO (GUARDA-RODA)</v>
      </c>
      <c r="C38" s="31" t="str">
        <f>_xlfn.IFERROR(VLOOKUP(A38,'Planilha Orçamentária'!$A:$H,5,FALSE),0)</f>
        <v>m2</v>
      </c>
      <c r="D38" s="32">
        <f>6.9*0.3</f>
        <v>2.07</v>
      </c>
      <c r="E38" s="144" t="s">
        <v>168</v>
      </c>
      <c r="F38" s="121" t="s">
        <v>141</v>
      </c>
      <c r="G38" t="b">
        <f>D38='Planilha Orçamentária'!F39</f>
        <v>1</v>
      </c>
    </row>
    <row r="39" spans="1:7" ht="63.75">
      <c r="A39" s="143" t="s">
        <v>190</v>
      </c>
      <c r="B39" s="114" t="str">
        <f>_xlfn.IFERROR(VLOOKUP(A39,'Planilha Orçamentária'!$A:$H,4,FALSE),0)</f>
        <v>PISO EM CONCRETO, USINADO CONVENCIONAL, FCK 30MPA, COM AÇO CA-50 DIÂMETRO 6,3MM MALHA 10X10CM, ACABAMENTO RÚSTICO, ESP. 15CM, INCLUSIVE FORNECIMENTO, LANÇAMENTO, ADENSAMENTO, EXCLUSIVE JUNTA DE DILATAÇÃO (PAVIMENTO)</v>
      </c>
      <c r="C39" s="31" t="str">
        <f>_xlfn.IFERROR(VLOOKUP(A39,'Planilha Orçamentária'!$A:$H,5,FALSE),0)</f>
        <v>m2</v>
      </c>
      <c r="D39" s="32">
        <f>6.9*6.4</f>
        <v>44.16</v>
      </c>
      <c r="E39" s="144" t="s">
        <v>202</v>
      </c>
      <c r="F39" s="121" t="s">
        <v>141</v>
      </c>
      <c r="G39" t="b">
        <f>D39='Planilha Orçamentária'!F40</f>
        <v>1</v>
      </c>
    </row>
    <row r="40" spans="1:7" ht="38.25">
      <c r="A40" s="143" t="s">
        <v>201</v>
      </c>
      <c r="B40" s="114" t="str">
        <f>_xlfn.IFERROR(VLOOKUP(A40,'Planilha Orçamentária'!$A:$H,4,FALSE),0)</f>
        <v>Placa de regulamentação para sinalização de obras montada em suporte metálico móvel, R1 lado 0,414 m - utilização de 600 ciclos - fornecimento, 01 implantação e 01 retirada diária</v>
      </c>
      <c r="C40" s="31" t="str">
        <f>_xlfn.IFERROR(VLOOKUP(A40,'Planilha Orçamentária'!$A:$H,5,FALSE),0)</f>
        <v>un.dia</v>
      </c>
      <c r="D40" s="32">
        <f>2*30</f>
        <v>60</v>
      </c>
      <c r="E40" s="144" t="s">
        <v>203</v>
      </c>
      <c r="F40" s="121" t="s">
        <v>141</v>
      </c>
      <c r="G40" t="b">
        <f>D40='Planilha Orçamentária'!F41</f>
        <v>1</v>
      </c>
    </row>
    <row r="41" spans="1:6" ht="12.75">
      <c r="A41" s="146"/>
      <c r="B41" s="147"/>
      <c r="C41" s="10"/>
      <c r="D41" s="29"/>
      <c r="E41" s="148"/>
      <c r="F41" s="142"/>
    </row>
    <row r="42" spans="1:6" ht="12.75">
      <c r="A42" s="146"/>
      <c r="B42" s="147"/>
      <c r="C42" s="10"/>
      <c r="D42" s="29"/>
      <c r="E42" s="148"/>
      <c r="F42" s="142"/>
    </row>
    <row r="47" spans="1:14" ht="12.75">
      <c r="A47" s="232" t="s">
        <v>15</v>
      </c>
      <c r="B47" s="232"/>
      <c r="C47" s="232"/>
      <c r="D47" s="232"/>
      <c r="E47" s="232"/>
      <c r="F47" s="232"/>
      <c r="G47" s="13"/>
      <c r="H47" s="13"/>
      <c r="I47" s="13"/>
      <c r="J47" s="13"/>
      <c r="K47" s="13"/>
      <c r="L47" s="13"/>
      <c r="M47" s="13"/>
      <c r="N47" s="13"/>
    </row>
    <row r="48" spans="1:14" ht="12.75">
      <c r="A48" s="233" t="s">
        <v>13</v>
      </c>
      <c r="B48" s="233"/>
      <c r="C48" s="233"/>
      <c r="D48" s="233"/>
      <c r="E48" s="233"/>
      <c r="F48" s="233"/>
      <c r="G48" s="117"/>
      <c r="H48" s="117"/>
      <c r="I48" s="117"/>
      <c r="J48" s="117"/>
      <c r="K48" s="117"/>
      <c r="L48" s="117"/>
      <c r="M48" s="117"/>
      <c r="N48" s="117"/>
    </row>
    <row r="49" spans="1:14" ht="12.75">
      <c r="A49" s="234" t="s">
        <v>14</v>
      </c>
      <c r="B49" s="234"/>
      <c r="C49" s="234"/>
      <c r="D49" s="234"/>
      <c r="E49" s="234"/>
      <c r="F49" s="234"/>
      <c r="G49" s="118"/>
      <c r="H49" s="118"/>
      <c r="I49" s="118"/>
      <c r="J49" s="118"/>
      <c r="K49" s="118"/>
      <c r="L49" s="118"/>
      <c r="M49" s="118"/>
      <c r="N49" s="118"/>
    </row>
    <row r="50" spans="1:14" ht="12.75">
      <c r="A50" s="246" t="s">
        <v>16</v>
      </c>
      <c r="B50" s="246"/>
      <c r="C50" s="246"/>
      <c r="D50" s="246"/>
      <c r="E50" s="246"/>
      <c r="F50" s="246"/>
      <c r="G50" s="119"/>
      <c r="H50" s="119"/>
      <c r="I50" s="119"/>
      <c r="J50" s="119"/>
      <c r="K50" s="119"/>
      <c r="L50" s="119"/>
      <c r="M50" s="119"/>
      <c r="N50" s="119"/>
    </row>
  </sheetData>
  <sheetProtection/>
  <mergeCells count="15">
    <mergeCell ref="A47:F47"/>
    <mergeCell ref="A48:F48"/>
    <mergeCell ref="A49:F49"/>
    <mergeCell ref="A50:F50"/>
    <mergeCell ref="C8:C9"/>
    <mergeCell ref="D8:D9"/>
    <mergeCell ref="E8:E9"/>
    <mergeCell ref="F8:F9"/>
    <mergeCell ref="A1:F1"/>
    <mergeCell ref="A2:F3"/>
    <mergeCell ref="A4:F5"/>
    <mergeCell ref="A6:F6"/>
    <mergeCell ref="A7:F7"/>
    <mergeCell ref="A8:A9"/>
    <mergeCell ref="B8:B9"/>
  </mergeCells>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view="pageBreakPreview" zoomScaleSheetLayoutView="100" workbookViewId="0" topLeftCell="A1">
      <selection activeCell="A8" sqref="A8:J8"/>
    </sheetView>
  </sheetViews>
  <sheetFormatPr defaultColWidth="9.140625" defaultRowHeight="12.75"/>
  <cols>
    <col min="1" max="1" width="5.7109375" style="0" customWidth="1"/>
    <col min="2" max="2" width="9.140625" style="0" customWidth="1"/>
    <col min="3" max="3" width="9.00390625" style="0" customWidth="1"/>
    <col min="5" max="5" width="12.00390625" style="0" customWidth="1"/>
    <col min="6" max="6" width="13.7109375" style="0" customWidth="1"/>
    <col min="7" max="7" width="11.00390625" style="0" customWidth="1"/>
    <col min="8" max="10" width="13.7109375" style="0" customWidth="1"/>
    <col min="11" max="11" width="10.140625" style="0" bestFit="1" customWidth="1"/>
  </cols>
  <sheetData>
    <row r="1" spans="1:10" ht="12.75">
      <c r="A1" s="294"/>
      <c r="B1" s="295"/>
      <c r="C1" s="296"/>
      <c r="D1" s="313" t="s">
        <v>124</v>
      </c>
      <c r="E1" s="313"/>
      <c r="F1" s="313"/>
      <c r="G1" s="313"/>
      <c r="H1" s="313"/>
      <c r="I1" s="313"/>
      <c r="J1" s="313"/>
    </row>
    <row r="2" spans="1:10" ht="12.75">
      <c r="A2" s="297"/>
      <c r="B2" s="298"/>
      <c r="C2" s="299"/>
      <c r="D2" s="313"/>
      <c r="E2" s="313"/>
      <c r="F2" s="313"/>
      <c r="G2" s="313"/>
      <c r="H2" s="313"/>
      <c r="I2" s="313"/>
      <c r="J2" s="313"/>
    </row>
    <row r="3" spans="1:10" ht="12.75">
      <c r="A3" s="297"/>
      <c r="B3" s="298"/>
      <c r="C3" s="299"/>
      <c r="D3" s="314" t="s">
        <v>125</v>
      </c>
      <c r="E3" s="315"/>
      <c r="F3" s="315"/>
      <c r="G3" s="315"/>
      <c r="H3" s="315"/>
      <c r="I3" s="315"/>
      <c r="J3" s="315"/>
    </row>
    <row r="4" spans="1:10" ht="12.75">
      <c r="A4" s="297"/>
      <c r="B4" s="298"/>
      <c r="C4" s="299"/>
      <c r="D4" s="315"/>
      <c r="E4" s="315"/>
      <c r="F4" s="315"/>
      <c r="G4" s="315"/>
      <c r="H4" s="315"/>
      <c r="I4" s="315"/>
      <c r="J4" s="315"/>
    </row>
    <row r="5" spans="1:10" ht="12.75">
      <c r="A5" s="297"/>
      <c r="B5" s="298"/>
      <c r="C5" s="299"/>
      <c r="D5" s="276" t="s">
        <v>146</v>
      </c>
      <c r="E5" s="277"/>
      <c r="F5" s="277"/>
      <c r="G5" s="278"/>
      <c r="H5" s="317" t="s">
        <v>89</v>
      </c>
      <c r="I5" s="318"/>
      <c r="J5" s="120" t="s">
        <v>90</v>
      </c>
    </row>
    <row r="6" spans="1:10" ht="12.75">
      <c r="A6" s="300"/>
      <c r="B6" s="266"/>
      <c r="C6" s="301"/>
      <c r="D6" s="279"/>
      <c r="E6" s="280"/>
      <c r="F6" s="280"/>
      <c r="G6" s="281"/>
      <c r="H6" s="319">
        <f>F14</f>
        <v>149809.55</v>
      </c>
      <c r="I6" s="320"/>
      <c r="J6" s="115">
        <v>45449</v>
      </c>
    </row>
    <row r="7" spans="1:10" ht="12.75">
      <c r="A7" s="273"/>
      <c r="B7" s="274"/>
      <c r="C7" s="274"/>
      <c r="D7" s="274"/>
      <c r="E7" s="274"/>
      <c r="F7" s="274"/>
      <c r="G7" s="274"/>
      <c r="H7" s="274"/>
      <c r="I7" s="274"/>
      <c r="J7" s="275"/>
    </row>
    <row r="8" spans="1:10" ht="36" customHeight="1">
      <c r="A8" s="267" t="s">
        <v>130</v>
      </c>
      <c r="B8" s="268"/>
      <c r="C8" s="268"/>
      <c r="D8" s="268"/>
      <c r="E8" s="268"/>
      <c r="F8" s="268"/>
      <c r="G8" s="268"/>
      <c r="H8" s="268"/>
      <c r="I8" s="268"/>
      <c r="J8" s="269"/>
    </row>
    <row r="9" spans="1:10" ht="30" customHeight="1">
      <c r="A9" s="61" t="s">
        <v>0</v>
      </c>
      <c r="B9" s="302" t="s">
        <v>21</v>
      </c>
      <c r="C9" s="303"/>
      <c r="D9" s="303"/>
      <c r="E9" s="304"/>
      <c r="F9" s="62" t="s">
        <v>22</v>
      </c>
      <c r="G9" s="62" t="s">
        <v>23</v>
      </c>
      <c r="H9" s="62" t="s">
        <v>24</v>
      </c>
      <c r="I9" s="62" t="s">
        <v>145</v>
      </c>
      <c r="J9" s="62" t="s">
        <v>11</v>
      </c>
    </row>
    <row r="10" spans="1:10" ht="12.75">
      <c r="A10" s="292" t="s">
        <v>2</v>
      </c>
      <c r="B10" s="305" t="str">
        <f>_xlfn.IFERROR(VLOOKUP(A10,'Planilha Orçamentária'!$A:$H,4,FALSE),0)</f>
        <v>TUDO ARMCO DN250 - RIO VACARIAS</v>
      </c>
      <c r="C10" s="306"/>
      <c r="D10" s="306"/>
      <c r="E10" s="307"/>
      <c r="F10" s="311">
        <f>_xlfn.IFERROR(VLOOKUP(A10,'Planilha Orçamentária'!$A:$J,10,FALSE),0)</f>
        <v>97125.25</v>
      </c>
      <c r="G10" s="57" t="s">
        <v>25</v>
      </c>
      <c r="H10" s="58">
        <v>1</v>
      </c>
      <c r="I10" s="58"/>
      <c r="J10" s="59">
        <f>SUM(H10:I10)</f>
        <v>1</v>
      </c>
    </row>
    <row r="11" spans="1:10" ht="12.75">
      <c r="A11" s="293"/>
      <c r="B11" s="308"/>
      <c r="C11" s="309"/>
      <c r="D11" s="309"/>
      <c r="E11" s="310"/>
      <c r="F11" s="312"/>
      <c r="G11" s="57" t="s">
        <v>26</v>
      </c>
      <c r="H11" s="60">
        <f>F10*H10</f>
        <v>97125.25</v>
      </c>
      <c r="I11" s="60">
        <f>F10*I10</f>
        <v>0</v>
      </c>
      <c r="J11" s="60">
        <f>SUM(H11:I11)</f>
        <v>97125.25</v>
      </c>
    </row>
    <row r="12" spans="1:10" ht="12.75">
      <c r="A12" s="292" t="s">
        <v>127</v>
      </c>
      <c r="B12" s="305" t="str">
        <f>_xlfn.IFERROR(VLOOKUP(A12,'Planilha Orçamentária'!$A:$H,4,FALSE),0)</f>
        <v>TUDO ARMCO DN150 - RIO DOS BOIS</v>
      </c>
      <c r="C12" s="306"/>
      <c r="D12" s="306"/>
      <c r="E12" s="307"/>
      <c r="F12" s="311">
        <f>_xlfn.IFERROR(VLOOKUP(A12,'Planilha Orçamentária'!$A:$J,10,FALSE),0)</f>
        <v>52684.3</v>
      </c>
      <c r="G12" s="57" t="s">
        <v>25</v>
      </c>
      <c r="H12" s="58"/>
      <c r="I12" s="58">
        <v>1</v>
      </c>
      <c r="J12" s="59">
        <f>SUM(H12:I12)</f>
        <v>1</v>
      </c>
    </row>
    <row r="13" spans="1:10" ht="12.75">
      <c r="A13" s="293"/>
      <c r="B13" s="308"/>
      <c r="C13" s="309"/>
      <c r="D13" s="309"/>
      <c r="E13" s="310"/>
      <c r="F13" s="312"/>
      <c r="G13" s="57" t="s">
        <v>26</v>
      </c>
      <c r="H13" s="60">
        <f>F12*H12</f>
        <v>0</v>
      </c>
      <c r="I13" s="60">
        <f>F12*I12</f>
        <v>52684.3</v>
      </c>
      <c r="J13" s="60">
        <f>SUM(H13:I13)</f>
        <v>52684.3</v>
      </c>
    </row>
    <row r="14" spans="1:10" ht="12.75">
      <c r="A14" s="282"/>
      <c r="B14" s="284" t="s">
        <v>11</v>
      </c>
      <c r="C14" s="285"/>
      <c r="D14" s="285"/>
      <c r="E14" s="286"/>
      <c r="F14" s="290">
        <f>SUM(F10:F13)</f>
        <v>149809.55</v>
      </c>
      <c r="G14" s="57" t="s">
        <v>25</v>
      </c>
      <c r="H14" s="58">
        <f>(H15/F14)*100%</f>
        <v>0.6483</v>
      </c>
      <c r="I14" s="58">
        <f>(I15/F14)*100%</f>
        <v>0.3517</v>
      </c>
      <c r="J14" s="58">
        <f>(J15/F14)*100%</f>
        <v>1</v>
      </c>
    </row>
    <row r="15" spans="1:16" ht="12.75">
      <c r="A15" s="283"/>
      <c r="B15" s="287"/>
      <c r="C15" s="288"/>
      <c r="D15" s="288"/>
      <c r="E15" s="289"/>
      <c r="F15" s="291"/>
      <c r="G15" s="57" t="s">
        <v>26</v>
      </c>
      <c r="H15" s="60">
        <f>SUM(H11+H13)</f>
        <v>97125.25</v>
      </c>
      <c r="I15" s="60">
        <f>SUM(I11+I13)</f>
        <v>52684.3</v>
      </c>
      <c r="J15" s="60">
        <f>SUM((H15:I15))</f>
        <v>149809.55</v>
      </c>
      <c r="K15" s="63"/>
      <c r="P15" s="122"/>
    </row>
    <row r="16" spans="1:10" ht="12.75">
      <c r="A16" s="273"/>
      <c r="B16" s="274"/>
      <c r="C16" s="274"/>
      <c r="D16" s="274"/>
      <c r="E16" s="274"/>
      <c r="F16" s="274"/>
      <c r="G16" s="274"/>
      <c r="H16" s="274"/>
      <c r="I16" s="274"/>
      <c r="J16" s="275"/>
    </row>
    <row r="17" spans="1:10" ht="12.75">
      <c r="A17" s="271"/>
      <c r="B17" s="271"/>
      <c r="C17" s="271"/>
      <c r="D17" s="271"/>
      <c r="E17" s="271"/>
      <c r="F17" s="271"/>
      <c r="G17" s="271"/>
      <c r="H17" s="271"/>
      <c r="I17" s="271"/>
      <c r="J17" s="271"/>
    </row>
    <row r="18" spans="1:10" ht="12.75">
      <c r="A18" s="272"/>
      <c r="B18" s="272"/>
      <c r="C18" s="272"/>
      <c r="D18" s="272"/>
      <c r="E18" s="272"/>
      <c r="F18" s="272"/>
      <c r="G18" s="272"/>
      <c r="H18" s="272"/>
      <c r="I18" s="272"/>
      <c r="J18" s="272"/>
    </row>
    <row r="19" spans="1:10" ht="12.75">
      <c r="A19" s="272"/>
      <c r="B19" s="272"/>
      <c r="C19" s="272"/>
      <c r="D19" s="272"/>
      <c r="E19" s="272"/>
      <c r="F19" s="272"/>
      <c r="G19" s="272"/>
      <c r="H19" s="272"/>
      <c r="I19" s="272"/>
      <c r="J19" s="272"/>
    </row>
    <row r="20" spans="1:10" ht="12.75">
      <c r="A20" s="272"/>
      <c r="B20" s="272"/>
      <c r="C20" s="272"/>
      <c r="D20" s="272"/>
      <c r="E20" s="272"/>
      <c r="F20" s="272"/>
      <c r="G20" s="272"/>
      <c r="H20" s="272"/>
      <c r="I20" s="272"/>
      <c r="J20" s="272"/>
    </row>
    <row r="21" spans="1:10" ht="12.75">
      <c r="A21" s="316" t="s">
        <v>29</v>
      </c>
      <c r="B21" s="316"/>
      <c r="C21" s="316"/>
      <c r="D21" s="316"/>
      <c r="E21" s="316"/>
      <c r="F21" s="316"/>
      <c r="G21" s="316"/>
      <c r="H21" s="316"/>
      <c r="I21" s="316"/>
      <c r="J21" s="316"/>
    </row>
    <row r="22" spans="1:10" ht="12.75">
      <c r="A22" s="270" t="s">
        <v>13</v>
      </c>
      <c r="B22" s="270"/>
      <c r="C22" s="270"/>
      <c r="D22" s="270"/>
      <c r="E22" s="270"/>
      <c r="F22" s="270"/>
      <c r="G22" s="270"/>
      <c r="H22" s="270"/>
      <c r="I22" s="270"/>
      <c r="J22" s="270"/>
    </row>
    <row r="23" spans="1:10" ht="12.75">
      <c r="A23" s="270" t="s">
        <v>27</v>
      </c>
      <c r="B23" s="270"/>
      <c r="C23" s="270"/>
      <c r="D23" s="270"/>
      <c r="E23" s="270"/>
      <c r="F23" s="270"/>
      <c r="G23" s="270"/>
      <c r="H23" s="270"/>
      <c r="I23" s="270"/>
      <c r="J23" s="270"/>
    </row>
    <row r="24" spans="1:10" ht="12.75">
      <c r="A24" s="270" t="s">
        <v>28</v>
      </c>
      <c r="B24" s="270"/>
      <c r="C24" s="270"/>
      <c r="D24" s="270"/>
      <c r="E24" s="270"/>
      <c r="F24" s="270"/>
      <c r="G24" s="270"/>
      <c r="H24" s="270"/>
      <c r="I24" s="270"/>
      <c r="J24" s="270"/>
    </row>
  </sheetData>
  <sheetProtection/>
  <mergeCells count="24">
    <mergeCell ref="D1:J2"/>
    <mergeCell ref="D3:J4"/>
    <mergeCell ref="A21:J21"/>
    <mergeCell ref="A22:J22"/>
    <mergeCell ref="H5:I5"/>
    <mergeCell ref="H6:I6"/>
    <mergeCell ref="A23:J23"/>
    <mergeCell ref="A7:J7"/>
    <mergeCell ref="B9:E9"/>
    <mergeCell ref="B10:E11"/>
    <mergeCell ref="F10:F11"/>
    <mergeCell ref="A12:A13"/>
    <mergeCell ref="B12:E13"/>
    <mergeCell ref="F12:F13"/>
    <mergeCell ref="A24:J24"/>
    <mergeCell ref="A17:J20"/>
    <mergeCell ref="A16:J16"/>
    <mergeCell ref="D5:G6"/>
    <mergeCell ref="A8:J8"/>
    <mergeCell ref="A14:A15"/>
    <mergeCell ref="B14:E15"/>
    <mergeCell ref="F14:F15"/>
    <mergeCell ref="A10:A11"/>
    <mergeCell ref="A1:C6"/>
  </mergeCells>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85" r:id="rId2"/>
  <ignoredErrors>
    <ignoredError sqref="A10"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Barnez</dc:creator>
  <cp:keywords/>
  <dc:description/>
  <cp:lastModifiedBy>Jose magno sarmento</cp:lastModifiedBy>
  <cp:lastPrinted>2024-06-06T15:00:36Z</cp:lastPrinted>
  <dcterms:created xsi:type="dcterms:W3CDTF">2004-06-18T14:38:09Z</dcterms:created>
  <dcterms:modified xsi:type="dcterms:W3CDTF">2024-06-06T15:00:47Z</dcterms:modified>
  <cp:category/>
  <cp:version/>
  <cp:contentType/>
  <cp:contentStatus/>
  <cp:revision>1</cp:revision>
</cp:coreProperties>
</file>